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105" windowWidth="13260" windowHeight="6585" firstSheet="4" activeTab="5"/>
  </bookViews>
  <sheets>
    <sheet name="Monthly Usage - Rogersville" sheetId="4" r:id="rId1"/>
    <sheet name="Monthly Usage - Branson" sheetId="3" r:id="rId2"/>
    <sheet name="Capacity Release Vols" sheetId="16" r:id="rId3"/>
    <sheet name="Est Storage WACOG Calc" sheetId="17" r:id="rId4"/>
    <sheet name="Attachment 1" sheetId="8" r:id="rId5"/>
    <sheet name="Attachment 2" sheetId="13" r:id="rId6"/>
    <sheet name="Attachment 3" sheetId="14" r:id="rId7"/>
    <sheet name="Swing Price" sheetId="12" r:id="rId8"/>
    <sheet name="Delivery Rates" sheetId="10" r:id="rId9"/>
    <sheet name="Hedges" sheetId="9" r:id="rId10"/>
    <sheet name="Btu Factor Calculations" sheetId="11" r:id="rId11"/>
    <sheet name="Attachment 3 support" sheetId="15" r:id="rId12"/>
  </sheets>
  <externalReferences>
    <externalReference r:id="rId13"/>
  </externalReferences>
  <definedNames>
    <definedName name="_xlnm.Print_Area" localSheetId="4">'Attachment 1'!$A$1:$N$83</definedName>
    <definedName name="_xlnm.Print_Area" localSheetId="5">'Attachment 2'!$A$1:$G$35</definedName>
    <definedName name="_xlnm.Print_Area" localSheetId="6">'Attachment 3'!$A$1:$E$36</definedName>
    <definedName name="_xlnm.Print_Area" localSheetId="11">'Attachment 3 support'!$A$1:$M$15</definedName>
    <definedName name="_xlnm.Print_Area" localSheetId="10">'Btu Factor Calculations'!$A$1:$D$21</definedName>
    <definedName name="_xlnm.Print_Area" localSheetId="2">'Capacity Release Vols'!$A$1:$Q$22</definedName>
    <definedName name="_xlnm.Print_Area" localSheetId="8">'Delivery Rates'!$A$1:$F$49</definedName>
    <definedName name="_xlnm.Print_Area" localSheetId="9">Hedges!$A$1:$F$25</definedName>
    <definedName name="_xlnm.Print_Area" localSheetId="1">'Monthly Usage - Branson'!#REF!</definedName>
    <definedName name="_xlnm.Print_Area" localSheetId="0">'Monthly Usage - Rogersville'!$A$1:$Q$138</definedName>
  </definedNames>
  <calcPr calcId="125725"/>
</workbook>
</file>

<file path=xl/calcChain.xml><?xml version="1.0" encoding="utf-8"?>
<calcChain xmlns="http://schemas.openxmlformats.org/spreadsheetml/2006/main">
  <c r="H10" i="15"/>
  <c r="H11"/>
  <c r="H12"/>
  <c r="H9"/>
  <c r="G10"/>
  <c r="G11"/>
  <c r="I11" s="1"/>
  <c r="G12"/>
  <c r="G9"/>
  <c r="L30" i="8"/>
  <c r="L33" s="1"/>
  <c r="L34" s="1"/>
  <c r="D11" i="3"/>
  <c r="D34"/>
  <c r="D12"/>
  <c r="D13"/>
  <c r="D14"/>
  <c r="D37"/>
  <c r="D62" s="1"/>
  <c r="D15"/>
  <c r="D38"/>
  <c r="D63" s="1"/>
  <c r="D86" s="1"/>
  <c r="D107" s="1"/>
  <c r="D16"/>
  <c r="D17"/>
  <c r="D18"/>
  <c r="D41"/>
  <c r="D19"/>
  <c r="D42" s="1"/>
  <c r="D67" s="1"/>
  <c r="D20"/>
  <c r="D21"/>
  <c r="D44"/>
  <c r="D22"/>
  <c r="K125"/>
  <c r="K126" s="1"/>
  <c r="H137"/>
  <c r="C45"/>
  <c r="C70"/>
  <c r="C93" s="1"/>
  <c r="C114" s="1"/>
  <c r="C136" s="1"/>
  <c r="B45"/>
  <c r="B70" s="1"/>
  <c r="B93" s="1"/>
  <c r="B114" s="1"/>
  <c r="B136" s="1"/>
  <c r="C44"/>
  <c r="C69"/>
  <c r="C92" s="1"/>
  <c r="C113" s="1"/>
  <c r="C135" s="1"/>
  <c r="B44"/>
  <c r="B69" s="1"/>
  <c r="B92"/>
  <c r="B113"/>
  <c r="B135" s="1"/>
  <c r="C43"/>
  <c r="C68" s="1"/>
  <c r="C91" s="1"/>
  <c r="C112" s="1"/>
  <c r="C134" s="1"/>
  <c r="B43"/>
  <c r="B68"/>
  <c r="B91" s="1"/>
  <c r="B112" s="1"/>
  <c r="B134" s="1"/>
  <c r="C42"/>
  <c r="C67"/>
  <c r="C90" s="1"/>
  <c r="C111" s="1"/>
  <c r="C133" s="1"/>
  <c r="B42"/>
  <c r="B67"/>
  <c r="B90" s="1"/>
  <c r="B111" s="1"/>
  <c r="B133" s="1"/>
  <c r="C41"/>
  <c r="C66"/>
  <c r="C89"/>
  <c r="C110"/>
  <c r="C132" s="1"/>
  <c r="B41"/>
  <c r="B66" s="1"/>
  <c r="B89" s="1"/>
  <c r="B110" s="1"/>
  <c r="B132" s="1"/>
  <c r="C40"/>
  <c r="C65" s="1"/>
  <c r="C88" s="1"/>
  <c r="C109" s="1"/>
  <c r="C131" s="1"/>
  <c r="B40"/>
  <c r="B65" s="1"/>
  <c r="B88"/>
  <c r="B109" s="1"/>
  <c r="B131" s="1"/>
  <c r="C39"/>
  <c r="C64" s="1"/>
  <c r="C87" s="1"/>
  <c r="C108" s="1"/>
  <c r="C130" s="1"/>
  <c r="B39"/>
  <c r="B64" s="1"/>
  <c r="B87" s="1"/>
  <c r="B108" s="1"/>
  <c r="B130" s="1"/>
  <c r="C38"/>
  <c r="C63"/>
  <c r="C86" s="1"/>
  <c r="C107"/>
  <c r="C129" s="1"/>
  <c r="B38"/>
  <c r="B63" s="1"/>
  <c r="B86" s="1"/>
  <c r="B107" s="1"/>
  <c r="B129" s="1"/>
  <c r="C37"/>
  <c r="C62"/>
  <c r="C85" s="1"/>
  <c r="C106" s="1"/>
  <c r="C128" s="1"/>
  <c r="B37"/>
  <c r="B62" s="1"/>
  <c r="B85" s="1"/>
  <c r="B106" s="1"/>
  <c r="B128"/>
  <c r="C36"/>
  <c r="C61" s="1"/>
  <c r="C84" s="1"/>
  <c r="C105" s="1"/>
  <c r="C127" s="1"/>
  <c r="B36"/>
  <c r="B61" s="1"/>
  <c r="B84" s="1"/>
  <c r="B105" s="1"/>
  <c r="B127" s="1"/>
  <c r="C35"/>
  <c r="C60" s="1"/>
  <c r="C83" s="1"/>
  <c r="C104" s="1"/>
  <c r="C126" s="1"/>
  <c r="B35"/>
  <c r="B60" s="1"/>
  <c r="B83" s="1"/>
  <c r="B104" s="1"/>
  <c r="B126" s="1"/>
  <c r="C34"/>
  <c r="C59"/>
  <c r="C82" s="1"/>
  <c r="C103" s="1"/>
  <c r="C125" s="1"/>
  <c r="B34"/>
  <c r="B59" s="1"/>
  <c r="B82" s="1"/>
  <c r="B103" s="1"/>
  <c r="B125" s="1"/>
  <c r="G115"/>
  <c r="H103"/>
  <c r="K115"/>
  <c r="G94"/>
  <c r="H82"/>
  <c r="K94"/>
  <c r="G71"/>
  <c r="H59"/>
  <c r="K71"/>
  <c r="G46"/>
  <c r="H34"/>
  <c r="K46"/>
  <c r="G23"/>
  <c r="H11"/>
  <c r="K23"/>
  <c r="AG474" i="4"/>
  <c r="D12"/>
  <c r="D13"/>
  <c r="D34"/>
  <c r="D14"/>
  <c r="D35"/>
  <c r="D15"/>
  <c r="D36" s="1"/>
  <c r="D16"/>
  <c r="D37" s="1"/>
  <c r="D59" s="1"/>
  <c r="D17"/>
  <c r="D38"/>
  <c r="D18"/>
  <c r="D39"/>
  <c r="D61"/>
  <c r="D19"/>
  <c r="D40"/>
  <c r="D20"/>
  <c r="D41"/>
  <c r="D21"/>
  <c r="D22"/>
  <c r="D23"/>
  <c r="D44"/>
  <c r="D66"/>
  <c r="D89" s="1"/>
  <c r="G134"/>
  <c r="H133"/>
  <c r="H122" s="1"/>
  <c r="K134"/>
  <c r="C44"/>
  <c r="C66" s="1"/>
  <c r="C89"/>
  <c r="C111" s="1"/>
  <c r="C133" s="1"/>
  <c r="B44"/>
  <c r="B66" s="1"/>
  <c r="B89" s="1"/>
  <c r="B111" s="1"/>
  <c r="B133" s="1"/>
  <c r="C43"/>
  <c r="C65"/>
  <c r="C88" s="1"/>
  <c r="C110" s="1"/>
  <c r="C132" s="1"/>
  <c r="B43"/>
  <c r="B65"/>
  <c r="B88" s="1"/>
  <c r="B110" s="1"/>
  <c r="B132" s="1"/>
  <c r="C42"/>
  <c r="C64"/>
  <c r="C87" s="1"/>
  <c r="C109" s="1"/>
  <c r="C131" s="1"/>
  <c r="B42"/>
  <c r="B64"/>
  <c r="B87"/>
  <c r="B109" s="1"/>
  <c r="B131" s="1"/>
  <c r="C41"/>
  <c r="C63" s="1"/>
  <c r="C86" s="1"/>
  <c r="C108" s="1"/>
  <c r="C130" s="1"/>
  <c r="B41"/>
  <c r="B63" s="1"/>
  <c r="B86" s="1"/>
  <c r="B108" s="1"/>
  <c r="B130" s="1"/>
  <c r="C40"/>
  <c r="C62" s="1"/>
  <c r="C85" s="1"/>
  <c r="C107" s="1"/>
  <c r="C129" s="1"/>
  <c r="B40"/>
  <c r="B62" s="1"/>
  <c r="B85" s="1"/>
  <c r="B107" s="1"/>
  <c r="B129" s="1"/>
  <c r="C39"/>
  <c r="C61" s="1"/>
  <c r="C84" s="1"/>
  <c r="C106" s="1"/>
  <c r="C128" s="1"/>
  <c r="B39"/>
  <c r="B61"/>
  <c r="B84" s="1"/>
  <c r="B106"/>
  <c r="B128" s="1"/>
  <c r="C38"/>
  <c r="C60" s="1"/>
  <c r="C83" s="1"/>
  <c r="C105" s="1"/>
  <c r="C127" s="1"/>
  <c r="B38"/>
  <c r="B60"/>
  <c r="B83"/>
  <c r="B105" s="1"/>
  <c r="B127" s="1"/>
  <c r="C37"/>
  <c r="C59" s="1"/>
  <c r="C82" s="1"/>
  <c r="C104" s="1"/>
  <c r="C126"/>
  <c r="B37"/>
  <c r="B59" s="1"/>
  <c r="B82" s="1"/>
  <c r="B104" s="1"/>
  <c r="B126" s="1"/>
  <c r="C36"/>
  <c r="C58" s="1"/>
  <c r="C81" s="1"/>
  <c r="C103" s="1"/>
  <c r="C125" s="1"/>
  <c r="B36"/>
  <c r="B58" s="1"/>
  <c r="B81" s="1"/>
  <c r="B103" s="1"/>
  <c r="B125" s="1"/>
  <c r="C35"/>
  <c r="C57" s="1"/>
  <c r="C80"/>
  <c r="C102" s="1"/>
  <c r="C124" s="1"/>
  <c r="B35"/>
  <c r="B57"/>
  <c r="B80" s="1"/>
  <c r="B102" s="1"/>
  <c r="B124" s="1"/>
  <c r="C34"/>
  <c r="C56" s="1"/>
  <c r="C79" s="1"/>
  <c r="C101" s="1"/>
  <c r="C123" s="1"/>
  <c r="B34"/>
  <c r="B56"/>
  <c r="B79" s="1"/>
  <c r="B101" s="1"/>
  <c r="B123" s="1"/>
  <c r="C33"/>
  <c r="C55" s="1"/>
  <c r="C78" s="1"/>
  <c r="C100" s="1"/>
  <c r="C122" s="1"/>
  <c r="B33"/>
  <c r="B55"/>
  <c r="B78"/>
  <c r="B100" s="1"/>
  <c r="B122" s="1"/>
  <c r="G112"/>
  <c r="H111"/>
  <c r="H100"/>
  <c r="H101" s="1"/>
  <c r="K112"/>
  <c r="G90"/>
  <c r="H89"/>
  <c r="H78" s="1"/>
  <c r="K90"/>
  <c r="G67"/>
  <c r="H66"/>
  <c r="H55"/>
  <c r="H56" s="1"/>
  <c r="H57" s="1"/>
  <c r="H58" s="1"/>
  <c r="H59" s="1"/>
  <c r="H60" s="1"/>
  <c r="K67"/>
  <c r="G45"/>
  <c r="H44"/>
  <c r="H33"/>
  <c r="K45"/>
  <c r="G24"/>
  <c r="H23"/>
  <c r="H12"/>
  <c r="K24"/>
  <c r="B9" i="14"/>
  <c r="B10" s="1"/>
  <c r="B11" s="1"/>
  <c r="G29" i="13"/>
  <c r="B26" i="8"/>
  <c r="E13" i="17"/>
  <c r="D10"/>
  <c r="C4"/>
  <c r="E12" s="1"/>
  <c r="E14" s="1"/>
  <c r="B28" i="8" s="1"/>
  <c r="B33"/>
  <c r="B34" s="1"/>
  <c r="C33"/>
  <c r="C34" s="1"/>
  <c r="D33"/>
  <c r="D34" s="1"/>
  <c r="E23"/>
  <c r="E24" s="1"/>
  <c r="E33"/>
  <c r="E34"/>
  <c r="F23"/>
  <c r="F24" s="1"/>
  <c r="F33"/>
  <c r="G23"/>
  <c r="G24" s="1"/>
  <c r="H23"/>
  <c r="H24" s="1"/>
  <c r="I23"/>
  <c r="I24" s="1"/>
  <c r="J23"/>
  <c r="J24" s="1"/>
  <c r="K23"/>
  <c r="K24" s="1"/>
  <c r="L23"/>
  <c r="L24" s="1"/>
  <c r="M23"/>
  <c r="M24" s="1"/>
  <c r="D3" i="12"/>
  <c r="B43" i="8" s="1"/>
  <c r="C3" i="16"/>
  <c r="C4" s="1"/>
  <c r="J10" s="1"/>
  <c r="D3"/>
  <c r="D4" s="1"/>
  <c r="M33" i="8"/>
  <c r="M34" s="1"/>
  <c r="P54"/>
  <c r="P52"/>
  <c r="P51"/>
  <c r="P50"/>
  <c r="I17" i="16"/>
  <c r="I16"/>
  <c r="I15"/>
  <c r="I14"/>
  <c r="I13"/>
  <c r="I12"/>
  <c r="I11"/>
  <c r="I10"/>
  <c r="I9"/>
  <c r="J9" s="1"/>
  <c r="I8"/>
  <c r="I7"/>
  <c r="I6"/>
  <c r="K3"/>
  <c r="K4" s="1"/>
  <c r="J3"/>
  <c r="J4" s="1"/>
  <c r="M51" i="8"/>
  <c r="L51"/>
  <c r="K51"/>
  <c r="J51"/>
  <c r="I51"/>
  <c r="H51"/>
  <c r="G51"/>
  <c r="F51"/>
  <c r="E51"/>
  <c r="D51"/>
  <c r="C51"/>
  <c r="B51"/>
  <c r="C7" i="9"/>
  <c r="C13"/>
  <c r="C15"/>
  <c r="C19"/>
  <c r="C21" s="1"/>
  <c r="F21" s="1"/>
  <c r="D7"/>
  <c r="D9"/>
  <c r="D13"/>
  <c r="D15" s="1"/>
  <c r="F15" s="1"/>
  <c r="D19"/>
  <c r="D21" s="1"/>
  <c r="E7"/>
  <c r="E9"/>
  <c r="E13"/>
  <c r="E15"/>
  <c r="E19"/>
  <c r="E23" s="1"/>
  <c r="D20" i="8" s="1"/>
  <c r="E21" i="9"/>
  <c r="J14" i="8"/>
  <c r="P15"/>
  <c r="D18" i="9"/>
  <c r="E18"/>
  <c r="C18"/>
  <c r="C16" i="11"/>
  <c r="B16"/>
  <c r="F16" i="10"/>
  <c r="C15" i="11"/>
  <c r="B15"/>
  <c r="D15"/>
  <c r="C14"/>
  <c r="D14" s="1"/>
  <c r="I14" i="8" s="1"/>
  <c r="B14" i="11"/>
  <c r="C13"/>
  <c r="D13" s="1"/>
  <c r="H14" i="8" s="1"/>
  <c r="B13" i="11"/>
  <c r="C12"/>
  <c r="D12" s="1"/>
  <c r="G14" i="8" s="1"/>
  <c r="B12" i="11"/>
  <c r="C11"/>
  <c r="B11"/>
  <c r="C10"/>
  <c r="B10"/>
  <c r="D10"/>
  <c r="E14" i="8" s="1"/>
  <c r="C9" i="11"/>
  <c r="D9"/>
  <c r="D14" i="8" s="1"/>
  <c r="B9" i="11"/>
  <c r="C8"/>
  <c r="B8"/>
  <c r="C7"/>
  <c r="B7"/>
  <c r="B17" s="1"/>
  <c r="C6"/>
  <c r="B6"/>
  <c r="C5"/>
  <c r="B5"/>
  <c r="F32" i="10"/>
  <c r="D7" i="12"/>
  <c r="F43" i="8" s="1"/>
  <c r="F31"/>
  <c r="D8" i="12"/>
  <c r="D9"/>
  <c r="H43" i="8" s="1"/>
  <c r="D10" i="12"/>
  <c r="D11"/>
  <c r="J43" i="8" s="1"/>
  <c r="J31"/>
  <c r="J32" s="1"/>
  <c r="D12" i="12"/>
  <c r="K43" i="8" s="1"/>
  <c r="D13" i="12"/>
  <c r="L31" i="8" s="1"/>
  <c r="L32" s="1"/>
  <c r="M32"/>
  <c r="J30"/>
  <c r="J33" s="1"/>
  <c r="J34" s="1"/>
  <c r="K30"/>
  <c r="E27"/>
  <c r="E60"/>
  <c r="D27"/>
  <c r="B27"/>
  <c r="B60" s="1"/>
  <c r="C27"/>
  <c r="C60"/>
  <c r="D16" i="11"/>
  <c r="K14" i="8" s="1"/>
  <c r="F60"/>
  <c r="G60"/>
  <c r="H60"/>
  <c r="I60"/>
  <c r="J60"/>
  <c r="K60"/>
  <c r="L60"/>
  <c r="C32"/>
  <c r="D32"/>
  <c r="E32"/>
  <c r="B32"/>
  <c r="D4" i="12"/>
  <c r="C43" i="8" s="1"/>
  <c r="C50"/>
  <c r="C52"/>
  <c r="C54"/>
  <c r="D5" i="12"/>
  <c r="D43" i="8" s="1"/>
  <c r="D50"/>
  <c r="D52"/>
  <c r="D54"/>
  <c r="D6" i="12"/>
  <c r="E43" i="8" s="1"/>
  <c r="E50"/>
  <c r="E52"/>
  <c r="E54"/>
  <c r="F50"/>
  <c r="F52"/>
  <c r="F54"/>
  <c r="G50"/>
  <c r="G52"/>
  <c r="G54"/>
  <c r="H50"/>
  <c r="H52"/>
  <c r="H54"/>
  <c r="I50"/>
  <c r="I52"/>
  <c r="I54"/>
  <c r="J50"/>
  <c r="J52"/>
  <c r="J54"/>
  <c r="K50"/>
  <c r="K52"/>
  <c r="K54"/>
  <c r="L50"/>
  <c r="L52"/>
  <c r="L54"/>
  <c r="D14" i="12"/>
  <c r="M43" i="8"/>
  <c r="M50"/>
  <c r="M52"/>
  <c r="M54"/>
  <c r="B50"/>
  <c r="B52"/>
  <c r="B54"/>
  <c r="E22"/>
  <c r="F22"/>
  <c r="G22"/>
  <c r="H22"/>
  <c r="I22"/>
  <c r="J22"/>
  <c r="K22"/>
  <c r="L22"/>
  <c r="M22"/>
  <c r="Q28"/>
  <c r="D8" i="11"/>
  <c r="C14" i="8"/>
  <c r="C49"/>
  <c r="D49"/>
  <c r="E49"/>
  <c r="F49"/>
  <c r="G49"/>
  <c r="H49"/>
  <c r="I49"/>
  <c r="J49"/>
  <c r="K49"/>
  <c r="L49"/>
  <c r="M49"/>
  <c r="B49"/>
  <c r="C19"/>
  <c r="D19"/>
  <c r="E19"/>
  <c r="F19"/>
  <c r="G19"/>
  <c r="H19"/>
  <c r="I19"/>
  <c r="J19"/>
  <c r="K19"/>
  <c r="L19"/>
  <c r="M19"/>
  <c r="B19"/>
  <c r="F36" i="10"/>
  <c r="F44"/>
  <c r="F28"/>
  <c r="F20"/>
  <c r="F30" i="8"/>
  <c r="H31"/>
  <c r="H32" s="1"/>
  <c r="I31"/>
  <c r="G30"/>
  <c r="H30"/>
  <c r="H33" s="1"/>
  <c r="H34" s="1"/>
  <c r="I30"/>
  <c r="I33" s="1"/>
  <c r="I34" s="1"/>
  <c r="M27"/>
  <c r="F12" i="9"/>
  <c r="C12"/>
  <c r="D12"/>
  <c r="E12"/>
  <c r="B53" i="8"/>
  <c r="J53"/>
  <c r="I43"/>
  <c r="J16" i="16"/>
  <c r="H123" i="4"/>
  <c r="H124" s="1"/>
  <c r="H125" s="1"/>
  <c r="H126" s="1"/>
  <c r="H127" s="1"/>
  <c r="H128" s="1"/>
  <c r="H129" s="1"/>
  <c r="H130" s="1"/>
  <c r="H131" s="1"/>
  <c r="H132" s="1"/>
  <c r="D62"/>
  <c r="D56"/>
  <c r="D35" i="3"/>
  <c r="I32" i="8"/>
  <c r="D69" i="3"/>
  <c r="H12"/>
  <c r="H13"/>
  <c r="H14" s="1"/>
  <c r="H15"/>
  <c r="H16" s="1"/>
  <c r="H17" s="1"/>
  <c r="H18" s="1"/>
  <c r="H19" s="1"/>
  <c r="H20" s="1"/>
  <c r="H21" s="1"/>
  <c r="H22" s="1"/>
  <c r="D40"/>
  <c r="D65" s="1"/>
  <c r="H83"/>
  <c r="H84"/>
  <c r="D43"/>
  <c r="D60" i="8"/>
  <c r="D6" i="11"/>
  <c r="D60" i="4"/>
  <c r="H60" i="3"/>
  <c r="H61" s="1"/>
  <c r="H62" s="1"/>
  <c r="H63" s="1"/>
  <c r="H64" s="1"/>
  <c r="H65" s="1"/>
  <c r="H66" s="1"/>
  <c r="H67" s="1"/>
  <c r="H68" s="1"/>
  <c r="H69" s="1"/>
  <c r="H70" s="1"/>
  <c r="G33" i="8"/>
  <c r="G34" s="1"/>
  <c r="D5" i="11"/>
  <c r="L14" i="8" s="1"/>
  <c r="H35" i="3"/>
  <c r="D39"/>
  <c r="H102" i="4"/>
  <c r="H103" s="1"/>
  <c r="H104" s="1"/>
  <c r="H105" s="1"/>
  <c r="H106" s="1"/>
  <c r="H107" s="1"/>
  <c r="H108" s="1"/>
  <c r="H109" s="1"/>
  <c r="H110" s="1"/>
  <c r="D82"/>
  <c r="D104" s="1"/>
  <c r="D126" s="1"/>
  <c r="D36" i="3"/>
  <c r="P30" i="8"/>
  <c r="D111" i="4"/>
  <c r="D64" i="3"/>
  <c r="D87" s="1"/>
  <c r="D85" i="4"/>
  <c r="D58"/>
  <c r="D81" s="1"/>
  <c r="D61" i="3"/>
  <c r="D79" i="4"/>
  <c r="D68" i="3"/>
  <c r="D23" i="8"/>
  <c r="D107" i="4"/>
  <c r="D101"/>
  <c r="D84" i="3"/>
  <c r="D91"/>
  <c r="D129" i="4"/>
  <c r="D105" i="3"/>
  <c r="D112"/>
  <c r="D127"/>
  <c r="I10" i="15" l="1"/>
  <c r="K16" i="16"/>
  <c r="M16" s="1"/>
  <c r="C10"/>
  <c r="D10" s="1"/>
  <c r="F10" s="1"/>
  <c r="Q10" s="1"/>
  <c r="E55" i="8" s="1"/>
  <c r="I9" i="15"/>
  <c r="I12"/>
  <c r="B35" i="8"/>
  <c r="C26" s="1"/>
  <c r="C35" s="1"/>
  <c r="D26" s="1"/>
  <c r="K9" i="16"/>
  <c r="M9" s="1"/>
  <c r="N52" i="8"/>
  <c r="Q52" s="1"/>
  <c r="N54"/>
  <c r="Q54" s="1"/>
  <c r="B29"/>
  <c r="B36" s="1"/>
  <c r="D108" i="3"/>
  <c r="H115"/>
  <c r="H104"/>
  <c r="H105" s="1"/>
  <c r="H106" s="1"/>
  <c r="H107" s="1"/>
  <c r="H108" s="1"/>
  <c r="H109" s="1"/>
  <c r="H110" s="1"/>
  <c r="H111" s="1"/>
  <c r="H112" s="1"/>
  <c r="H113" s="1"/>
  <c r="H114" s="1"/>
  <c r="D85"/>
  <c r="J15" i="16"/>
  <c r="C6"/>
  <c r="C7"/>
  <c r="J8"/>
  <c r="J7"/>
  <c r="C8"/>
  <c r="C12"/>
  <c r="C11"/>
  <c r="C16"/>
  <c r="C15"/>
  <c r="C14"/>
  <c r="J14"/>
  <c r="C17"/>
  <c r="J13"/>
  <c r="C13"/>
  <c r="C9"/>
  <c r="J6"/>
  <c r="D43" i="4"/>
  <c r="D83"/>
  <c r="D60" i="3"/>
  <c r="M60" i="8"/>
  <c r="N60" s="1"/>
  <c r="N27"/>
  <c r="G43"/>
  <c r="G31"/>
  <c r="G32" s="1"/>
  <c r="H13" i="4"/>
  <c r="H14" s="1"/>
  <c r="H15" s="1"/>
  <c r="H16" s="1"/>
  <c r="H17" s="1"/>
  <c r="H18" s="1"/>
  <c r="H19" s="1"/>
  <c r="H20" s="1"/>
  <c r="H21" s="1"/>
  <c r="H22" s="1"/>
  <c r="D129" i="3"/>
  <c r="H67" i="4"/>
  <c r="L16" i="16"/>
  <c r="H61" i="4"/>
  <c r="H62" s="1"/>
  <c r="H63" s="1"/>
  <c r="H64" s="1"/>
  <c r="H65" s="1"/>
  <c r="H112"/>
  <c r="D7" i="11"/>
  <c r="B14" i="8" s="1"/>
  <c r="E39" i="4"/>
  <c r="G39" s="1"/>
  <c r="I39" s="1"/>
  <c r="M39" s="1"/>
  <c r="H85" i="3"/>
  <c r="H86" s="1"/>
  <c r="H87" s="1"/>
  <c r="H88" s="1"/>
  <c r="H89" s="1"/>
  <c r="H90" s="1"/>
  <c r="H91" s="1"/>
  <c r="H92" s="1"/>
  <c r="H93" s="1"/>
  <c r="D134"/>
  <c r="K10" i="16"/>
  <c r="M10" s="1"/>
  <c r="L10"/>
  <c r="D59" i="3"/>
  <c r="D103" i="4"/>
  <c r="H36" i="3"/>
  <c r="H37" s="1"/>
  <c r="H38" s="1"/>
  <c r="H39" s="1"/>
  <c r="H40" s="1"/>
  <c r="H41" s="1"/>
  <c r="H42" s="1"/>
  <c r="H43" s="1"/>
  <c r="H44" s="1"/>
  <c r="H45" s="1"/>
  <c r="D92"/>
  <c r="C9" i="9"/>
  <c r="F7"/>
  <c r="C23"/>
  <c r="E35" i="4"/>
  <c r="G35" s="1"/>
  <c r="I35" s="1"/>
  <c r="M35" s="1"/>
  <c r="H23" i="3"/>
  <c r="D57" i="4"/>
  <c r="D45" i="3"/>
  <c r="L9" i="16"/>
  <c r="J17"/>
  <c r="D84" i="4"/>
  <c r="D88" i="3"/>
  <c r="D66"/>
  <c r="H71"/>
  <c r="J12" i="16"/>
  <c r="H134" i="4"/>
  <c r="D23" i="9"/>
  <c r="C20" i="8" s="1"/>
  <c r="F13" i="9"/>
  <c r="F14" s="1"/>
  <c r="N50" i="8"/>
  <c r="E41" i="4"/>
  <c r="G41" s="1"/>
  <c r="D63"/>
  <c r="D90" i="3"/>
  <c r="J11" i="16"/>
  <c r="D123" i="4"/>
  <c r="P53" i="8"/>
  <c r="G53"/>
  <c r="H53"/>
  <c r="E53"/>
  <c r="F53"/>
  <c r="D53"/>
  <c r="C53"/>
  <c r="D24"/>
  <c r="H79" i="4"/>
  <c r="H80" s="1"/>
  <c r="H81" s="1"/>
  <c r="H82" s="1"/>
  <c r="H83" s="1"/>
  <c r="H84" s="1"/>
  <c r="H85" s="1"/>
  <c r="H86" s="1"/>
  <c r="H87" s="1"/>
  <c r="H88" s="1"/>
  <c r="E24" i="9"/>
  <c r="E21" i="4"/>
  <c r="G21" s="1"/>
  <c r="I21" s="1"/>
  <c r="M21" s="1"/>
  <c r="E38"/>
  <c r="G38" s="1"/>
  <c r="I38" s="1"/>
  <c r="M38" s="1"/>
  <c r="L53" i="8"/>
  <c r="K31"/>
  <c r="F19" i="9"/>
  <c r="F20" s="1"/>
  <c r="D24"/>
  <c r="D42" i="4"/>
  <c r="E18"/>
  <c r="G18" s="1"/>
  <c r="I18" s="1"/>
  <c r="M18" s="1"/>
  <c r="P27" i="8"/>
  <c r="I53"/>
  <c r="C17" i="11"/>
  <c r="D17" s="1"/>
  <c r="K33" i="8"/>
  <c r="K34" s="1"/>
  <c r="D133" i="4"/>
  <c r="N51" i="8"/>
  <c r="Q51" s="1"/>
  <c r="K127" i="3"/>
  <c r="K53" i="8"/>
  <c r="H45" i="4"/>
  <c r="E15"/>
  <c r="G15" s="1"/>
  <c r="D24"/>
  <c r="E11" i="3"/>
  <c r="D23"/>
  <c r="E22" s="1"/>
  <c r="G22" s="1"/>
  <c r="I22" s="1"/>
  <c r="M22" s="1"/>
  <c r="O22" s="1"/>
  <c r="M53" i="8"/>
  <c r="F32"/>
  <c r="K32"/>
  <c r="D11" i="11"/>
  <c r="F14" i="8" s="1"/>
  <c r="H34" i="4"/>
  <c r="H35" s="1"/>
  <c r="H36" s="1"/>
  <c r="H37" s="1"/>
  <c r="H38" s="1"/>
  <c r="H39" s="1"/>
  <c r="H40" s="1"/>
  <c r="H41" s="1"/>
  <c r="H42" s="1"/>
  <c r="H43" s="1"/>
  <c r="D33"/>
  <c r="F34" i="8"/>
  <c r="N30"/>
  <c r="Q30" s="1"/>
  <c r="L43"/>
  <c r="E10" i="16" l="1"/>
  <c r="P10" s="1"/>
  <c r="E56" i="8" s="1"/>
  <c r="E57" s="1"/>
  <c r="B37"/>
  <c r="C28" s="1"/>
  <c r="N34"/>
  <c r="G11" i="3"/>
  <c r="O18" i="4"/>
  <c r="D111" i="3"/>
  <c r="D65" i="4"/>
  <c r="E43"/>
  <c r="G43" s="1"/>
  <c r="I43" s="1"/>
  <c r="M43" s="1"/>
  <c r="D80"/>
  <c r="L11" i="16"/>
  <c r="K11"/>
  <c r="M11" s="1"/>
  <c r="Q50" i="8"/>
  <c r="F23" i="9"/>
  <c r="B20" i="8"/>
  <c r="D83" i="3"/>
  <c r="D89"/>
  <c r="L17" i="16"/>
  <c r="K17"/>
  <c r="M17" s="1"/>
  <c r="O35" i="4"/>
  <c r="D125"/>
  <c r="E9" i="16"/>
  <c r="P9" s="1"/>
  <c r="D56" i="8" s="1"/>
  <c r="D9" i="16"/>
  <c r="F9" s="1"/>
  <c r="Q9" s="1"/>
  <c r="D55" i="8" s="1"/>
  <c r="E11" i="16"/>
  <c r="D11"/>
  <c r="F11" s="1"/>
  <c r="L6"/>
  <c r="K6"/>
  <c r="M6" s="1"/>
  <c r="E16"/>
  <c r="P16" s="1"/>
  <c r="K56" i="8" s="1"/>
  <c r="D16" i="16"/>
  <c r="F16" s="1"/>
  <c r="Q16" s="1"/>
  <c r="K55" i="8" s="1"/>
  <c r="K15" i="16"/>
  <c r="M15" s="1"/>
  <c r="L15"/>
  <c r="E23" i="4"/>
  <c r="G23" s="1"/>
  <c r="I23" s="1"/>
  <c r="M23" s="1"/>
  <c r="E14"/>
  <c r="G14" s="1"/>
  <c r="I14" s="1"/>
  <c r="M14" s="1"/>
  <c r="E20"/>
  <c r="G20" s="1"/>
  <c r="I20" s="1"/>
  <c r="M20" s="1"/>
  <c r="E34"/>
  <c r="G34" s="1"/>
  <c r="I34" s="1"/>
  <c r="M34" s="1"/>
  <c r="E17"/>
  <c r="G17" s="1"/>
  <c r="I17" s="1"/>
  <c r="M17" s="1"/>
  <c r="E44"/>
  <c r="G44" s="1"/>
  <c r="I44" s="1"/>
  <c r="M44" s="1"/>
  <c r="E19"/>
  <c r="G19" s="1"/>
  <c r="I19" s="1"/>
  <c r="M19" s="1"/>
  <c r="E12"/>
  <c r="E16"/>
  <c r="G16" s="1"/>
  <c r="I16" s="1"/>
  <c r="M16" s="1"/>
  <c r="E37"/>
  <c r="G37" s="1"/>
  <c r="I37" s="1"/>
  <c r="M37" s="1"/>
  <c r="E13"/>
  <c r="G13" s="1"/>
  <c r="I13" s="1"/>
  <c r="M13" s="1"/>
  <c r="E40"/>
  <c r="G40" s="1"/>
  <c r="I40" s="1"/>
  <c r="M40" s="1"/>
  <c r="E42"/>
  <c r="G42" s="1"/>
  <c r="I42" s="1"/>
  <c r="M42" s="1"/>
  <c r="D64"/>
  <c r="D86"/>
  <c r="D15" i="16"/>
  <c r="F15" s="1"/>
  <c r="E15"/>
  <c r="D6"/>
  <c r="F6" s="1"/>
  <c r="E6"/>
  <c r="P6" s="1"/>
  <c r="D130" i="3"/>
  <c r="D35" i="8"/>
  <c r="E26" s="1"/>
  <c r="E34" i="3"/>
  <c r="N32" i="8"/>
  <c r="E40" i="3"/>
  <c r="G40" s="1"/>
  <c r="I40" s="1"/>
  <c r="M40" s="1"/>
  <c r="O40" s="1"/>
  <c r="E41"/>
  <c r="G41" s="1"/>
  <c r="I41" s="1"/>
  <c r="M41" s="1"/>
  <c r="O41" s="1"/>
  <c r="H94"/>
  <c r="P60" i="8"/>
  <c r="Q60" s="1"/>
  <c r="I15" i="4"/>
  <c r="M15" s="1"/>
  <c r="N53" i="8"/>
  <c r="Q53" s="1"/>
  <c r="I41" i="4"/>
  <c r="M41" s="1"/>
  <c r="Q27" i="8"/>
  <c r="E36" i="4"/>
  <c r="G36" s="1"/>
  <c r="I36" s="1"/>
  <c r="M36" s="1"/>
  <c r="H46" i="3"/>
  <c r="E22" i="4"/>
  <c r="G22" s="1"/>
  <c r="I22" s="1"/>
  <c r="M22" s="1"/>
  <c r="N14" i="8"/>
  <c r="M14"/>
  <c r="D113" i="3"/>
  <c r="D7" i="16"/>
  <c r="F7" s="1"/>
  <c r="E7"/>
  <c r="E12" i="3"/>
  <c r="G12" s="1"/>
  <c r="I12" s="1"/>
  <c r="M12" s="1"/>
  <c r="O12" s="1"/>
  <c r="E21"/>
  <c r="G21" s="1"/>
  <c r="I21" s="1"/>
  <c r="M21" s="1"/>
  <c r="O21" s="1"/>
  <c r="E20"/>
  <c r="G20" s="1"/>
  <c r="I20" s="1"/>
  <c r="M20" s="1"/>
  <c r="O20" s="1"/>
  <c r="E14"/>
  <c r="G14" s="1"/>
  <c r="I14" s="1"/>
  <c r="M14" s="1"/>
  <c r="O14" s="1"/>
  <c r="E17"/>
  <c r="G17" s="1"/>
  <c r="I17" s="1"/>
  <c r="M17" s="1"/>
  <c r="O17" s="1"/>
  <c r="E13"/>
  <c r="G13" s="1"/>
  <c r="I13" s="1"/>
  <c r="M13" s="1"/>
  <c r="O13" s="1"/>
  <c r="E16"/>
  <c r="G16" s="1"/>
  <c r="I16" s="1"/>
  <c r="M16" s="1"/>
  <c r="O16" s="1"/>
  <c r="E36"/>
  <c r="G36" s="1"/>
  <c r="I36" s="1"/>
  <c r="M36" s="1"/>
  <c r="O36" s="1"/>
  <c r="E39"/>
  <c r="G39" s="1"/>
  <c r="I39" s="1"/>
  <c r="M39" s="1"/>
  <c r="O39" s="1"/>
  <c r="E38"/>
  <c r="G38" s="1"/>
  <c r="I38" s="1"/>
  <c r="M38" s="1"/>
  <c r="O38" s="1"/>
  <c r="E18"/>
  <c r="G18" s="1"/>
  <c r="I18" s="1"/>
  <c r="M18" s="1"/>
  <c r="O18" s="1"/>
  <c r="E19"/>
  <c r="G19" s="1"/>
  <c r="I19" s="1"/>
  <c r="M19" s="1"/>
  <c r="O19" s="1"/>
  <c r="E37"/>
  <c r="G37" s="1"/>
  <c r="I37" s="1"/>
  <c r="M37" s="1"/>
  <c r="O37" s="1"/>
  <c r="E43"/>
  <c r="G43" s="1"/>
  <c r="I43" s="1"/>
  <c r="M43" s="1"/>
  <c r="O43" s="1"/>
  <c r="O38" i="4"/>
  <c r="L14" i="16"/>
  <c r="K14"/>
  <c r="M14" s="1"/>
  <c r="C23" i="8"/>
  <c r="C24" s="1"/>
  <c r="E45" i="3"/>
  <c r="G45" s="1"/>
  <c r="I45" s="1"/>
  <c r="M45" s="1"/>
  <c r="O45" s="1"/>
  <c r="D70"/>
  <c r="C24" i="9"/>
  <c r="F24" s="1"/>
  <c r="F25" s="1"/>
  <c r="F9"/>
  <c r="H8" i="8"/>
  <c r="O39" i="4"/>
  <c r="E17" i="16"/>
  <c r="D17"/>
  <c r="F17" s="1"/>
  <c r="K7"/>
  <c r="M7" s="1"/>
  <c r="L7"/>
  <c r="H90" i="4"/>
  <c r="D46" i="3"/>
  <c r="K128"/>
  <c r="L12" i="16"/>
  <c r="K12"/>
  <c r="M12" s="1"/>
  <c r="D109" i="3"/>
  <c r="D82"/>
  <c r="D71"/>
  <c r="K13" i="16"/>
  <c r="M13" s="1"/>
  <c r="L13"/>
  <c r="D8"/>
  <c r="F8" s="1"/>
  <c r="E8"/>
  <c r="D106" i="3"/>
  <c r="E15"/>
  <c r="G15" s="1"/>
  <c r="I15" s="1"/>
  <c r="M15" s="1"/>
  <c r="O15" s="1"/>
  <c r="E44"/>
  <c r="G44" s="1"/>
  <c r="I44" s="1"/>
  <c r="M44" s="1"/>
  <c r="O44" s="1"/>
  <c r="E42"/>
  <c r="G42" s="1"/>
  <c r="I42" s="1"/>
  <c r="M42" s="1"/>
  <c r="O42" s="1"/>
  <c r="P20" i="8"/>
  <c r="H24" i="4"/>
  <c r="E35" i="3"/>
  <c r="G35" s="1"/>
  <c r="I35" s="1"/>
  <c r="M35" s="1"/>
  <c r="O35" s="1"/>
  <c r="E33" i="4"/>
  <c r="D55"/>
  <c r="D45"/>
  <c r="O21"/>
  <c r="K7" i="8"/>
  <c r="D106" i="4"/>
  <c r="D14" i="16"/>
  <c r="F14" s="1"/>
  <c r="E14"/>
  <c r="P33" i="8"/>
  <c r="P34" s="1"/>
  <c r="N33"/>
  <c r="D105" i="4"/>
  <c r="L8" i="16"/>
  <c r="K8"/>
  <c r="M8" s="1"/>
  <c r="D13"/>
  <c r="F13" s="1"/>
  <c r="E13"/>
  <c r="D12"/>
  <c r="F12" s="1"/>
  <c r="E12"/>
  <c r="P12" l="1"/>
  <c r="G56" i="8" s="1"/>
  <c r="P17" i="16"/>
  <c r="L56" i="8" s="1"/>
  <c r="Q13" i="16"/>
  <c r="H55" i="8" s="1"/>
  <c r="D57"/>
  <c r="Q12" i="16"/>
  <c r="G55" i="8" s="1"/>
  <c r="P15" i="16"/>
  <c r="J56" i="8" s="1"/>
  <c r="C29"/>
  <c r="C36" s="1"/>
  <c r="C37" s="1"/>
  <c r="D28" s="1"/>
  <c r="Q8" i="16"/>
  <c r="C55" i="8" s="1"/>
  <c r="Q34"/>
  <c r="K57"/>
  <c r="Q17" i="16"/>
  <c r="L55" i="8" s="1"/>
  <c r="D78" i="4"/>
  <c r="D67"/>
  <c r="E55"/>
  <c r="N31" i="8"/>
  <c r="P32" s="1"/>
  <c r="Q32" s="1"/>
  <c r="L8"/>
  <c r="O43" i="4"/>
  <c r="E61" i="3"/>
  <c r="G61" s="1"/>
  <c r="I61" s="1"/>
  <c r="M61" s="1"/>
  <c r="O61" s="1"/>
  <c r="E84"/>
  <c r="G84" s="1"/>
  <c r="I84" s="1"/>
  <c r="M84" s="1"/>
  <c r="O84" s="1"/>
  <c r="E68"/>
  <c r="G68" s="1"/>
  <c r="I68" s="1"/>
  <c r="M68" s="1"/>
  <c r="O68" s="1"/>
  <c r="E63"/>
  <c r="G63" s="1"/>
  <c r="I63" s="1"/>
  <c r="M63" s="1"/>
  <c r="O63" s="1"/>
  <c r="E86"/>
  <c r="G86" s="1"/>
  <c r="I86" s="1"/>
  <c r="M86" s="1"/>
  <c r="O86" s="1"/>
  <c r="E91"/>
  <c r="G91" s="1"/>
  <c r="I91" s="1"/>
  <c r="M91" s="1"/>
  <c r="O91" s="1"/>
  <c r="E62"/>
  <c r="G62" s="1"/>
  <c r="I62" s="1"/>
  <c r="M62" s="1"/>
  <c r="O62" s="1"/>
  <c r="E65"/>
  <c r="G65" s="1"/>
  <c r="I65" s="1"/>
  <c r="M65" s="1"/>
  <c r="O65" s="1"/>
  <c r="E64"/>
  <c r="G64" s="1"/>
  <c r="I64" s="1"/>
  <c r="M64" s="1"/>
  <c r="O64" s="1"/>
  <c r="E69"/>
  <c r="G69" s="1"/>
  <c r="I69" s="1"/>
  <c r="M69" s="1"/>
  <c r="O69" s="1"/>
  <c r="E87"/>
  <c r="G87" s="1"/>
  <c r="I87" s="1"/>
  <c r="M87" s="1"/>
  <c r="O87" s="1"/>
  <c r="E67"/>
  <c r="G67" s="1"/>
  <c r="I67" s="1"/>
  <c r="M67" s="1"/>
  <c r="O67" s="1"/>
  <c r="L7" i="8"/>
  <c r="O22" i="4"/>
  <c r="C7" i="8"/>
  <c r="O13" i="4"/>
  <c r="J7" i="8"/>
  <c r="O20" i="4"/>
  <c r="E80"/>
  <c r="G80" s="1"/>
  <c r="I80" s="1"/>
  <c r="M80" s="1"/>
  <c r="D102"/>
  <c r="I11" i="3"/>
  <c r="G24"/>
  <c r="K129"/>
  <c r="O15" i="4"/>
  <c r="E7" i="8"/>
  <c r="M56"/>
  <c r="O40" i="4"/>
  <c r="I8" i="8"/>
  <c r="O34" i="4"/>
  <c r="C8" i="8"/>
  <c r="D104" i="3"/>
  <c r="E83"/>
  <c r="G83" s="1"/>
  <c r="I83" s="1"/>
  <c r="M83" s="1"/>
  <c r="O83" s="1"/>
  <c r="Q33" i="8"/>
  <c r="Q6" i="16"/>
  <c r="E60" i="3"/>
  <c r="G60" s="1"/>
  <c r="I60" s="1"/>
  <c r="M60" s="1"/>
  <c r="O60" s="1"/>
  <c r="E23"/>
  <c r="D103"/>
  <c r="D94"/>
  <c r="E82"/>
  <c r="D10" i="15"/>
  <c r="F8" i="8"/>
  <c r="O37" i="4"/>
  <c r="D127"/>
  <c r="G7" i="8"/>
  <c r="O17" i="4"/>
  <c r="O41"/>
  <c r="J8" i="8"/>
  <c r="M8"/>
  <c r="O44" i="4"/>
  <c r="D128"/>
  <c r="D11" i="15"/>
  <c r="D135" i="3"/>
  <c r="I7" i="8"/>
  <c r="O19" i="4"/>
  <c r="D133" i="3"/>
  <c r="E66"/>
  <c r="G66" s="1"/>
  <c r="I66" s="1"/>
  <c r="M66" s="1"/>
  <c r="O66" s="1"/>
  <c r="H7" i="8"/>
  <c r="P8" i="16"/>
  <c r="C56" i="8" s="1"/>
  <c r="E88" i="3"/>
  <c r="G88" s="1"/>
  <c r="I88" s="1"/>
  <c r="M88" s="1"/>
  <c r="O88" s="1"/>
  <c r="P11" i="16"/>
  <c r="F56" i="8" s="1"/>
  <c r="D12" i="15"/>
  <c r="O42" i="4"/>
  <c r="K8" i="8"/>
  <c r="E64" i="4"/>
  <c r="G64" s="1"/>
  <c r="I64" s="1"/>
  <c r="M64" s="1"/>
  <c r="D87"/>
  <c r="D131" i="3"/>
  <c r="D93"/>
  <c r="E70"/>
  <c r="G70" s="1"/>
  <c r="I70" s="1"/>
  <c r="M70" s="1"/>
  <c r="O70" s="1"/>
  <c r="E35" i="8"/>
  <c r="F26" s="1"/>
  <c r="E86" i="4"/>
  <c r="G86" s="1"/>
  <c r="I86" s="1"/>
  <c r="M86" s="1"/>
  <c r="D108"/>
  <c r="E24"/>
  <c r="G12"/>
  <c r="E92" i="3"/>
  <c r="G92" s="1"/>
  <c r="I92" s="1"/>
  <c r="M92" s="1"/>
  <c r="O92" s="1"/>
  <c r="Q14" i="16"/>
  <c r="I55" i="8" s="1"/>
  <c r="E85" i="3"/>
  <c r="G85" s="1"/>
  <c r="I85" s="1"/>
  <c r="M85" s="1"/>
  <c r="O85" s="1"/>
  <c r="Q7" i="16"/>
  <c r="B55" i="8" s="1"/>
  <c r="Q11" i="16"/>
  <c r="F55" i="8" s="1"/>
  <c r="E90" i="3"/>
  <c r="G90" s="1"/>
  <c r="I90" s="1"/>
  <c r="M90" s="1"/>
  <c r="O90" s="1"/>
  <c r="F8" i="9"/>
  <c r="P22" i="8"/>
  <c r="D7"/>
  <c r="O14" i="4"/>
  <c r="B23" i="8"/>
  <c r="N20"/>
  <c r="E89" i="3"/>
  <c r="G89" s="1"/>
  <c r="I89" s="1"/>
  <c r="M89" s="1"/>
  <c r="O89" s="1"/>
  <c r="D110"/>
  <c r="E45" i="4"/>
  <c r="G33"/>
  <c r="D128" i="3"/>
  <c r="C21" i="8"/>
  <c r="C22" s="1"/>
  <c r="D21"/>
  <c r="D22" s="1"/>
  <c r="B21"/>
  <c r="B22" s="1"/>
  <c r="P21"/>
  <c r="E8"/>
  <c r="O36" i="4"/>
  <c r="G34" i="3"/>
  <c r="E46"/>
  <c r="O16" i="4"/>
  <c r="F7" i="8"/>
  <c r="O23" i="4"/>
  <c r="M7" i="8"/>
  <c r="D88" i="4"/>
  <c r="E65"/>
  <c r="G65" s="1"/>
  <c r="I65" s="1"/>
  <c r="M65" s="1"/>
  <c r="P13" i="16"/>
  <c r="H56" i="8" s="1"/>
  <c r="P14" i="16"/>
  <c r="I56" i="8" s="1"/>
  <c r="E59" i="3"/>
  <c r="G8" i="8"/>
  <c r="P7" i="16"/>
  <c r="B56" i="8" s="1"/>
  <c r="Q15" i="16"/>
  <c r="J55" i="8" s="1"/>
  <c r="J57" s="1"/>
  <c r="D8"/>
  <c r="C57" l="1"/>
  <c r="G57"/>
  <c r="L57"/>
  <c r="D29"/>
  <c r="D36" s="1"/>
  <c r="D37" s="1"/>
  <c r="E28" s="1"/>
  <c r="H57"/>
  <c r="C11" i="15"/>
  <c r="E11" s="1"/>
  <c r="K11" s="1"/>
  <c r="C32" i="14" s="1"/>
  <c r="Q18" i="16"/>
  <c r="P55" i="8" s="1"/>
  <c r="M55"/>
  <c r="M57" s="1"/>
  <c r="G47" i="3"/>
  <c r="I34"/>
  <c r="N23" i="8"/>
  <c r="Q23" s="1"/>
  <c r="P23"/>
  <c r="D130" i="4"/>
  <c r="G82" i="3"/>
  <c r="E94"/>
  <c r="B57" i="8"/>
  <c r="D114" i="3"/>
  <c r="E93"/>
  <c r="G93" s="1"/>
  <c r="I93" s="1"/>
  <c r="M93" s="1"/>
  <c r="O93" s="1"/>
  <c r="K130"/>
  <c r="C10" i="15"/>
  <c r="E10" s="1"/>
  <c r="K10" s="1"/>
  <c r="C31" i="14" s="1"/>
  <c r="B24" i="8"/>
  <c r="N24" s="1"/>
  <c r="F35"/>
  <c r="G26" s="1"/>
  <c r="E71" i="3"/>
  <c r="G59"/>
  <c r="D10" i="8"/>
  <c r="O80" i="4"/>
  <c r="E79"/>
  <c r="G79" s="1"/>
  <c r="I79" s="1"/>
  <c r="M79" s="1"/>
  <c r="E85"/>
  <c r="G85" s="1"/>
  <c r="I85" s="1"/>
  <c r="M85" s="1"/>
  <c r="E56"/>
  <c r="G56" s="1"/>
  <c r="I56" s="1"/>
  <c r="M56" s="1"/>
  <c r="E82"/>
  <c r="G82" s="1"/>
  <c r="I82" s="1"/>
  <c r="M82" s="1"/>
  <c r="E58"/>
  <c r="G58" s="1"/>
  <c r="I58" s="1"/>
  <c r="M58" s="1"/>
  <c r="E66"/>
  <c r="G66" s="1"/>
  <c r="I66" s="1"/>
  <c r="M66" s="1"/>
  <c r="E62"/>
  <c r="G62" s="1"/>
  <c r="I62" s="1"/>
  <c r="M62" s="1"/>
  <c r="E60"/>
  <c r="G60" s="1"/>
  <c r="I60" s="1"/>
  <c r="M60" s="1"/>
  <c r="E61"/>
  <c r="G61" s="1"/>
  <c r="I61" s="1"/>
  <c r="M61" s="1"/>
  <c r="E59"/>
  <c r="G59" s="1"/>
  <c r="I59" s="1"/>
  <c r="M59" s="1"/>
  <c r="E89"/>
  <c r="G89" s="1"/>
  <c r="I89" s="1"/>
  <c r="M89" s="1"/>
  <c r="E81"/>
  <c r="G81" s="1"/>
  <c r="I81" s="1"/>
  <c r="M81" s="1"/>
  <c r="E63"/>
  <c r="G63" s="1"/>
  <c r="I63" s="1"/>
  <c r="M63" s="1"/>
  <c r="E84"/>
  <c r="G84" s="1"/>
  <c r="I84" s="1"/>
  <c r="M84" s="1"/>
  <c r="E57"/>
  <c r="G57" s="1"/>
  <c r="I57" s="1"/>
  <c r="M57" s="1"/>
  <c r="E83"/>
  <c r="G83" s="1"/>
  <c r="I83" s="1"/>
  <c r="M83" s="1"/>
  <c r="L9" i="8"/>
  <c r="O65" i="4"/>
  <c r="O86"/>
  <c r="J10" i="8"/>
  <c r="N22"/>
  <c r="I12" i="4"/>
  <c r="G25"/>
  <c r="Q20" i="8"/>
  <c r="D90" i="4"/>
  <c r="E78"/>
  <c r="D100"/>
  <c r="D132" i="3"/>
  <c r="K9" i="8"/>
  <c r="O64" i="4"/>
  <c r="D124"/>
  <c r="G55"/>
  <c r="P18" i="16"/>
  <c r="P56" i="8" s="1"/>
  <c r="I33" i="4"/>
  <c r="G46"/>
  <c r="D126" i="3"/>
  <c r="C12" i="15"/>
  <c r="E12" s="1"/>
  <c r="K12" s="1"/>
  <c r="C33" i="14" s="1"/>
  <c r="D110" i="4"/>
  <c r="E88"/>
  <c r="G88" s="1"/>
  <c r="I88" s="1"/>
  <c r="M88" s="1"/>
  <c r="D109"/>
  <c r="E87"/>
  <c r="G87" s="1"/>
  <c r="I87" s="1"/>
  <c r="M87" s="1"/>
  <c r="D125" i="3"/>
  <c r="D115"/>
  <c r="M11"/>
  <c r="I23"/>
  <c r="F57" i="8"/>
  <c r="N56"/>
  <c r="I57"/>
  <c r="Q56" l="1"/>
  <c r="P24"/>
  <c r="Q24" s="1"/>
  <c r="E29"/>
  <c r="E36" s="1"/>
  <c r="E37" s="1"/>
  <c r="F28" s="1"/>
  <c r="P57"/>
  <c r="D9"/>
  <c r="O57" i="4"/>
  <c r="I82" i="3"/>
  <c r="G95"/>
  <c r="M12" i="4"/>
  <c r="I24"/>
  <c r="O60"/>
  <c r="G9" i="8"/>
  <c r="H9"/>
  <c r="O61" i="4"/>
  <c r="O85"/>
  <c r="I10" i="8"/>
  <c r="M10"/>
  <c r="O89" i="4"/>
  <c r="C9" i="8"/>
  <c r="O56" i="4"/>
  <c r="G35" i="8"/>
  <c r="H26" s="1"/>
  <c r="D136" i="3"/>
  <c r="E110" i="4"/>
  <c r="G110" s="1"/>
  <c r="I110" s="1"/>
  <c r="M110" s="1"/>
  <c r="D132"/>
  <c r="E10" i="8"/>
  <c r="O81" i="4"/>
  <c r="F10" i="8"/>
  <c r="O82" i="4"/>
  <c r="N55" i="8"/>
  <c r="K10"/>
  <c r="O87" i="4"/>
  <c r="O79"/>
  <c r="C10" i="8"/>
  <c r="O88" i="4"/>
  <c r="L10" i="8"/>
  <c r="E90" i="4"/>
  <c r="G78"/>
  <c r="J9" i="8"/>
  <c r="O63" i="4"/>
  <c r="E9" i="8"/>
  <c r="O58" i="4"/>
  <c r="E67"/>
  <c r="I9" i="8"/>
  <c r="O62" i="4"/>
  <c r="G10" i="8"/>
  <c r="O83" i="4"/>
  <c r="O59"/>
  <c r="F9" i="8"/>
  <c r="M34" i="3"/>
  <c r="I46"/>
  <c r="M23"/>
  <c r="O11"/>
  <c r="D131" i="4"/>
  <c r="E109"/>
  <c r="G109" s="1"/>
  <c r="I109" s="1"/>
  <c r="M109" s="1"/>
  <c r="M33"/>
  <c r="I45"/>
  <c r="I55"/>
  <c r="G68"/>
  <c r="D122"/>
  <c r="E100"/>
  <c r="D112"/>
  <c r="N21" i="8"/>
  <c r="Q21" s="1"/>
  <c r="Q22"/>
  <c r="H10"/>
  <c r="O84" i="4"/>
  <c r="O66"/>
  <c r="M9" i="8"/>
  <c r="G72" i="3"/>
  <c r="I59"/>
  <c r="K131"/>
  <c r="F29" i="8" l="1"/>
  <c r="F36" s="1"/>
  <c r="F37" s="1"/>
  <c r="G28" s="1"/>
  <c r="M46" i="3"/>
  <c r="O34"/>
  <c r="O46" s="1"/>
  <c r="Q55" i="8"/>
  <c r="N57"/>
  <c r="Q57" s="1"/>
  <c r="D134" i="4"/>
  <c r="E122" s="1"/>
  <c r="H35" i="8"/>
  <c r="I26" s="1"/>
  <c r="O23" i="3"/>
  <c r="D9" i="15"/>
  <c r="M59" i="3"/>
  <c r="I71"/>
  <c r="E107" i="4"/>
  <c r="G107" s="1"/>
  <c r="I107" s="1"/>
  <c r="M107" s="1"/>
  <c r="E104"/>
  <c r="G104" s="1"/>
  <c r="I104" s="1"/>
  <c r="M104" s="1"/>
  <c r="E111"/>
  <c r="G111" s="1"/>
  <c r="I111" s="1"/>
  <c r="M111" s="1"/>
  <c r="E101"/>
  <c r="G101" s="1"/>
  <c r="I101" s="1"/>
  <c r="M101" s="1"/>
  <c r="E103"/>
  <c r="G103" s="1"/>
  <c r="I103" s="1"/>
  <c r="M103" s="1"/>
  <c r="E105"/>
  <c r="G105" s="1"/>
  <c r="I105" s="1"/>
  <c r="M105" s="1"/>
  <c r="E106"/>
  <c r="G106" s="1"/>
  <c r="I106" s="1"/>
  <c r="M106" s="1"/>
  <c r="E108"/>
  <c r="G108" s="1"/>
  <c r="I108" s="1"/>
  <c r="M108" s="1"/>
  <c r="E102"/>
  <c r="G102" s="1"/>
  <c r="I102" s="1"/>
  <c r="M102" s="1"/>
  <c r="I94" i="3"/>
  <c r="M82"/>
  <c r="O109" i="4"/>
  <c r="M55"/>
  <c r="I67"/>
  <c r="O110"/>
  <c r="G91"/>
  <c r="I78"/>
  <c r="G100"/>
  <c r="K132" i="3"/>
  <c r="O33" i="4"/>
  <c r="O45" s="1"/>
  <c r="M45"/>
  <c r="B8" i="8"/>
  <c r="N8" s="1"/>
  <c r="M24" i="4"/>
  <c r="P7" i="8" s="1"/>
  <c r="O12" i="4"/>
  <c r="B7" i="8"/>
  <c r="D137" i="3"/>
  <c r="G29" i="8" l="1"/>
  <c r="G36" s="1"/>
  <c r="G37" s="1"/>
  <c r="H28" s="1"/>
  <c r="G122" i="4"/>
  <c r="K133" i="3"/>
  <c r="O82"/>
  <c r="O94" s="1"/>
  <c r="M94"/>
  <c r="M11" i="8"/>
  <c r="O111" i="4"/>
  <c r="C11" i="8"/>
  <c r="O101" i="4"/>
  <c r="E132"/>
  <c r="G132" s="1"/>
  <c r="I132" s="1"/>
  <c r="M132" s="1"/>
  <c r="O104"/>
  <c r="G11" i="8"/>
  <c r="O105" i="4"/>
  <c r="I100"/>
  <c r="G113"/>
  <c r="H11" i="8"/>
  <c r="O106" i="4"/>
  <c r="M71" i="3"/>
  <c r="O59"/>
  <c r="O71" s="1"/>
  <c r="O103" i="4"/>
  <c r="E129"/>
  <c r="G129" s="1"/>
  <c r="I129" s="1"/>
  <c r="M129" s="1"/>
  <c r="E126"/>
  <c r="G126" s="1"/>
  <c r="I126" s="1"/>
  <c r="M126" s="1"/>
  <c r="E123"/>
  <c r="G123" s="1"/>
  <c r="I123" s="1"/>
  <c r="M123" s="1"/>
  <c r="E133"/>
  <c r="G133" s="1"/>
  <c r="I133" s="1"/>
  <c r="M133" s="1"/>
  <c r="E125"/>
  <c r="G125" s="1"/>
  <c r="I125" s="1"/>
  <c r="M125" s="1"/>
  <c r="E127"/>
  <c r="G127" s="1"/>
  <c r="I127" s="1"/>
  <c r="M127" s="1"/>
  <c r="E128"/>
  <c r="G128" s="1"/>
  <c r="I128" s="1"/>
  <c r="M128" s="1"/>
  <c r="E124"/>
  <c r="G124" s="1"/>
  <c r="I124" s="1"/>
  <c r="M124" s="1"/>
  <c r="E130"/>
  <c r="G130" s="1"/>
  <c r="I130" s="1"/>
  <c r="M130" s="1"/>
  <c r="E105" i="3"/>
  <c r="G105" s="1"/>
  <c r="I105" s="1"/>
  <c r="M105" s="1"/>
  <c r="O105" s="1"/>
  <c r="E112"/>
  <c r="G112" s="1"/>
  <c r="I112" s="1"/>
  <c r="M112" s="1"/>
  <c r="E127"/>
  <c r="G127" s="1"/>
  <c r="I127" s="1"/>
  <c r="M127" s="1"/>
  <c r="O127" s="1"/>
  <c r="E107"/>
  <c r="G107" s="1"/>
  <c r="I107" s="1"/>
  <c r="M107" s="1"/>
  <c r="O107" s="1"/>
  <c r="Q15" s="1"/>
  <c r="E134"/>
  <c r="G134" s="1"/>
  <c r="I134" s="1"/>
  <c r="E129"/>
  <c r="G129" s="1"/>
  <c r="I129" s="1"/>
  <c r="M129" s="1"/>
  <c r="O129" s="1"/>
  <c r="E108"/>
  <c r="G108" s="1"/>
  <c r="I108" s="1"/>
  <c r="M108" s="1"/>
  <c r="O108" s="1"/>
  <c r="Q16" s="1"/>
  <c r="E113"/>
  <c r="G113" s="1"/>
  <c r="I113" s="1"/>
  <c r="M113" s="1"/>
  <c r="E111"/>
  <c r="G111" s="1"/>
  <c r="I111" s="1"/>
  <c r="M111" s="1"/>
  <c r="O111" s="1"/>
  <c r="E109"/>
  <c r="G109" s="1"/>
  <c r="I109" s="1"/>
  <c r="M109" s="1"/>
  <c r="O109" s="1"/>
  <c r="E130"/>
  <c r="G130" s="1"/>
  <c r="I130" s="1"/>
  <c r="M130" s="1"/>
  <c r="O130" s="1"/>
  <c r="E106"/>
  <c r="G106" s="1"/>
  <c r="I106" s="1"/>
  <c r="M106" s="1"/>
  <c r="O106" s="1"/>
  <c r="Q14" s="1"/>
  <c r="E135"/>
  <c r="G135" s="1"/>
  <c r="I135" s="1"/>
  <c r="E131"/>
  <c r="G131" s="1"/>
  <c r="I131" s="1"/>
  <c r="M131" s="1"/>
  <c r="O131" s="1"/>
  <c r="E104"/>
  <c r="G104" s="1"/>
  <c r="I104" s="1"/>
  <c r="M104" s="1"/>
  <c r="O104" s="1"/>
  <c r="E110"/>
  <c r="G110" s="1"/>
  <c r="I110" s="1"/>
  <c r="M110" s="1"/>
  <c r="O110" s="1"/>
  <c r="E103"/>
  <c r="E133"/>
  <c r="G133" s="1"/>
  <c r="I133" s="1"/>
  <c r="E128"/>
  <c r="G128" s="1"/>
  <c r="I128" s="1"/>
  <c r="M128" s="1"/>
  <c r="O128" s="1"/>
  <c r="E132"/>
  <c r="G132" s="1"/>
  <c r="I132" s="1"/>
  <c r="M132" s="1"/>
  <c r="O132" s="1"/>
  <c r="E126"/>
  <c r="G126" s="1"/>
  <c r="I126" s="1"/>
  <c r="M126" s="1"/>
  <c r="O126" s="1"/>
  <c r="E114"/>
  <c r="G114" s="1"/>
  <c r="I114" s="1"/>
  <c r="M114" s="1"/>
  <c r="O114" s="1"/>
  <c r="Q22" s="1"/>
  <c r="E125"/>
  <c r="C9" i="15"/>
  <c r="E9" s="1"/>
  <c r="K9" s="1"/>
  <c r="C30" i="14" s="1"/>
  <c r="C34" s="1"/>
  <c r="C35" s="1"/>
  <c r="O24" i="4"/>
  <c r="O108"/>
  <c r="J11" i="8"/>
  <c r="I35"/>
  <c r="J26" s="1"/>
  <c r="P8"/>
  <c r="Q8" s="1"/>
  <c r="E112" i="4"/>
  <c r="E136" i="3"/>
  <c r="G136" s="1"/>
  <c r="I136" s="1"/>
  <c r="M136" s="1"/>
  <c r="O136" s="1"/>
  <c r="I90" i="4"/>
  <c r="M78"/>
  <c r="N7" i="8"/>
  <c r="Q7" s="1"/>
  <c r="B9"/>
  <c r="N9" s="1"/>
  <c r="M67" i="4"/>
  <c r="P9" i="8" s="1"/>
  <c r="O55" i="4"/>
  <c r="O67" s="1"/>
  <c r="O102"/>
  <c r="D11" i="8"/>
  <c r="O107" i="4"/>
  <c r="I11" i="8"/>
  <c r="E131" i="4"/>
  <c r="G131" s="1"/>
  <c r="I131" s="1"/>
  <c r="M131" s="1"/>
  <c r="Q9" i="8" l="1"/>
  <c r="H29"/>
  <c r="H36" s="1"/>
  <c r="H37" s="1"/>
  <c r="I28" s="1"/>
  <c r="G12"/>
  <c r="G13" s="1"/>
  <c r="G15" s="1"/>
  <c r="O127" i="4"/>
  <c r="Q17" s="1"/>
  <c r="H12" i="8"/>
  <c r="H13" s="1"/>
  <c r="H15" s="1"/>
  <c r="O128" i="4"/>
  <c r="I112"/>
  <c r="M100"/>
  <c r="O131"/>
  <c r="Q21" s="1"/>
  <c r="O113" i="3"/>
  <c r="L11" i="8"/>
  <c r="O129" i="4"/>
  <c r="I12" i="8"/>
  <c r="I13" s="1"/>
  <c r="I15" s="1"/>
  <c r="O132" i="4"/>
  <c r="Q22" s="1"/>
  <c r="E115" i="3"/>
  <c r="G103"/>
  <c r="F12" i="8"/>
  <c r="O126" i="4"/>
  <c r="Q16" s="1"/>
  <c r="E134"/>
  <c r="Q12" i="3"/>
  <c r="Q13" i="4"/>
  <c r="Q19" i="3"/>
  <c r="Q13"/>
  <c r="Q18" i="4"/>
  <c r="O112" i="3"/>
  <c r="K11" i="8"/>
  <c r="O123" i="4"/>
  <c r="C12" i="8"/>
  <c r="C13" s="1"/>
  <c r="C15" s="1"/>
  <c r="Q19" i="4"/>
  <c r="Q15"/>
  <c r="E11" i="8"/>
  <c r="Q14" i="4"/>
  <c r="Q17" i="3"/>
  <c r="F11" i="8"/>
  <c r="B10"/>
  <c r="M90" i="4"/>
  <c r="P10" i="8" s="1"/>
  <c r="O78" i="4"/>
  <c r="E12" i="8"/>
  <c r="O125" i="4"/>
  <c r="G135"/>
  <c r="I122"/>
  <c r="J35" i="8"/>
  <c r="K26" s="1"/>
  <c r="E137" i="3"/>
  <c r="G125"/>
  <c r="D12" i="8"/>
  <c r="D13" s="1"/>
  <c r="D15" s="1"/>
  <c r="O124" i="4"/>
  <c r="M133" i="3"/>
  <c r="O133" s="1"/>
  <c r="K134"/>
  <c r="O130" i="4"/>
  <c r="O133"/>
  <c r="M12" i="8"/>
  <c r="M13" s="1"/>
  <c r="M15" s="1"/>
  <c r="Q23" i="4"/>
  <c r="Q18" i="3"/>
  <c r="Q20" i="4"/>
  <c r="I29" i="8" l="1"/>
  <c r="I36" s="1"/>
  <c r="I37" s="1"/>
  <c r="J28" s="1"/>
  <c r="M16"/>
  <c r="M64"/>
  <c r="M25"/>
  <c r="M38" s="1"/>
  <c r="M62"/>
  <c r="M63"/>
  <c r="C63"/>
  <c r="C16"/>
  <c r="C64"/>
  <c r="C25"/>
  <c r="C38" s="1"/>
  <c r="C62"/>
  <c r="D25"/>
  <c r="D38" s="1"/>
  <c r="D16"/>
  <c r="D62"/>
  <c r="D63"/>
  <c r="D64"/>
  <c r="I25"/>
  <c r="I38" s="1"/>
  <c r="I62"/>
  <c r="I63"/>
  <c r="I64"/>
  <c r="I16"/>
  <c r="H25"/>
  <c r="H38" s="1"/>
  <c r="H16"/>
  <c r="H63"/>
  <c r="H64"/>
  <c r="H62"/>
  <c r="G116" i="3"/>
  <c r="I103"/>
  <c r="I134" i="4"/>
  <c r="M122"/>
  <c r="M134" i="3"/>
  <c r="K135"/>
  <c r="N10" i="8"/>
  <c r="Q10" s="1"/>
  <c r="O90" i="4"/>
  <c r="F13" i="8"/>
  <c r="F15" s="1"/>
  <c r="J12"/>
  <c r="J13" s="1"/>
  <c r="J15" s="1"/>
  <c r="E13"/>
  <c r="E15" s="1"/>
  <c r="G62"/>
  <c r="G64"/>
  <c r="G16"/>
  <c r="G63"/>
  <c r="G25"/>
  <c r="G38" s="1"/>
  <c r="M112" i="4"/>
  <c r="O100"/>
  <c r="O112" s="1"/>
  <c r="K35" i="8"/>
  <c r="L26" s="1"/>
  <c r="G138" i="3"/>
  <c r="I125"/>
  <c r="J29" i="8" l="1"/>
  <c r="J36" s="1"/>
  <c r="J37" s="1"/>
  <c r="K28" s="1"/>
  <c r="M125" i="3"/>
  <c r="I137"/>
  <c r="J64" i="8"/>
  <c r="J63"/>
  <c r="J25"/>
  <c r="J38" s="1"/>
  <c r="J62"/>
  <c r="J16"/>
  <c r="C40"/>
  <c r="C39"/>
  <c r="E25"/>
  <c r="E38" s="1"/>
  <c r="E62"/>
  <c r="E16"/>
  <c r="E63"/>
  <c r="E64"/>
  <c r="D39"/>
  <c r="D40" s="1"/>
  <c r="M39"/>
  <c r="M40" s="1"/>
  <c r="M103" i="3"/>
  <c r="I115"/>
  <c r="L35" i="8"/>
  <c r="M26" s="1"/>
  <c r="H39"/>
  <c r="H40" s="1"/>
  <c r="F25"/>
  <c r="F38" s="1"/>
  <c r="F16"/>
  <c r="F62"/>
  <c r="F63"/>
  <c r="F64"/>
  <c r="M134" i="4"/>
  <c r="O122"/>
  <c r="O134" s="1"/>
  <c r="Q12"/>
  <c r="Q24" s="1"/>
  <c r="O134" i="3"/>
  <c r="Q20" s="1"/>
  <c r="K12" i="8"/>
  <c r="K13" s="1"/>
  <c r="K15" s="1"/>
  <c r="G39"/>
  <c r="G40" s="1"/>
  <c r="M135" i="3"/>
  <c r="K137"/>
  <c r="I39" i="8"/>
  <c r="I40" s="1"/>
  <c r="K29" l="1"/>
  <c r="K36" s="1"/>
  <c r="K37" s="1"/>
  <c r="L28" s="1"/>
  <c r="I41"/>
  <c r="I42" s="1"/>
  <c r="H41"/>
  <c r="H42" s="1"/>
  <c r="D41"/>
  <c r="D42" s="1"/>
  <c r="G41"/>
  <c r="G42" s="1"/>
  <c r="M137" i="3"/>
  <c r="O125"/>
  <c r="C41" i="8"/>
  <c r="C42" s="1"/>
  <c r="O135" i="3"/>
  <c r="Q21" s="1"/>
  <c r="L12" i="8"/>
  <c r="L13" s="1"/>
  <c r="L15" s="1"/>
  <c r="F39"/>
  <c r="F40" s="1"/>
  <c r="P12"/>
  <c r="E39"/>
  <c r="E40" s="1"/>
  <c r="M35"/>
  <c r="N35" s="1"/>
  <c r="N26"/>
  <c r="P26"/>
  <c r="M41"/>
  <c r="M42" s="1"/>
  <c r="M115" i="3"/>
  <c r="P11" i="8" s="1"/>
  <c r="O103" i="3"/>
  <c r="B11" i="8"/>
  <c r="J39"/>
  <c r="J40" s="1"/>
  <c r="K25"/>
  <c r="K38" s="1"/>
  <c r="K62"/>
  <c r="K64"/>
  <c r="K63"/>
  <c r="K16"/>
  <c r="B12"/>
  <c r="Q26" l="1"/>
  <c r="N12"/>
  <c r="Q12" s="1"/>
  <c r="L29"/>
  <c r="G61"/>
  <c r="G65" s="1"/>
  <c r="G66" s="1"/>
  <c r="G67" s="1"/>
  <c r="G44"/>
  <c r="G45" s="1"/>
  <c r="C61"/>
  <c r="C65" s="1"/>
  <c r="C66" s="1"/>
  <c r="C67" s="1"/>
  <c r="C44"/>
  <c r="C45" s="1"/>
  <c r="J41"/>
  <c r="J42" s="1"/>
  <c r="H44"/>
  <c r="H45" s="1"/>
  <c r="H61"/>
  <c r="H65" s="1"/>
  <c r="H66" s="1"/>
  <c r="H67" s="1"/>
  <c r="M61"/>
  <c r="M65" s="1"/>
  <c r="M66" s="1"/>
  <c r="M67" s="1"/>
  <c r="M44"/>
  <c r="I44"/>
  <c r="I45" s="1"/>
  <c r="I61"/>
  <c r="I65" s="1"/>
  <c r="I66" s="1"/>
  <c r="I67" s="1"/>
  <c r="K39"/>
  <c r="K40" s="1"/>
  <c r="E41"/>
  <c r="E42" s="1"/>
  <c r="O137" i="3"/>
  <c r="L25" i="8"/>
  <c r="L38" s="1"/>
  <c r="L62"/>
  <c r="L63"/>
  <c r="L16"/>
  <c r="L64"/>
  <c r="D44"/>
  <c r="D45" s="1"/>
  <c r="D61"/>
  <c r="D65" s="1"/>
  <c r="D66" s="1"/>
  <c r="D67" s="1"/>
  <c r="N11"/>
  <c r="Q11" s="1"/>
  <c r="B13"/>
  <c r="F42"/>
  <c r="F41"/>
  <c r="P13"/>
  <c r="O115" i="3"/>
  <c r="Q11"/>
  <c r="Q23" s="1"/>
  <c r="L36" i="8" l="1"/>
  <c r="L37" s="1"/>
  <c r="M28" s="1"/>
  <c r="K41"/>
  <c r="K42" s="1"/>
  <c r="E61"/>
  <c r="E65" s="1"/>
  <c r="E66" s="1"/>
  <c r="E67" s="1"/>
  <c r="E44"/>
  <c r="E45" s="1"/>
  <c r="P16"/>
  <c r="R26" i="4"/>
  <c r="G70" i="8"/>
  <c r="G46"/>
  <c r="I46"/>
  <c r="I70"/>
  <c r="F61"/>
  <c r="F65" s="1"/>
  <c r="F66" s="1"/>
  <c r="F67" s="1"/>
  <c r="F44"/>
  <c r="F45" s="1"/>
  <c r="J61"/>
  <c r="J65" s="1"/>
  <c r="J66" s="1"/>
  <c r="J67" s="1"/>
  <c r="J44"/>
  <c r="J45" s="1"/>
  <c r="H70"/>
  <c r="H46"/>
  <c r="D46"/>
  <c r="D70"/>
  <c r="L39"/>
  <c r="L40" s="1"/>
  <c r="B15"/>
  <c r="N13"/>
  <c r="Q13" s="1"/>
  <c r="C70"/>
  <c r="C46"/>
  <c r="M29" l="1"/>
  <c r="L41"/>
  <c r="L42" s="1"/>
  <c r="G71"/>
  <c r="G72"/>
  <c r="B62"/>
  <c r="B63"/>
  <c r="B25"/>
  <c r="B64"/>
  <c r="N15"/>
  <c r="B16"/>
  <c r="N16" s="1"/>
  <c r="J70"/>
  <c r="J46"/>
  <c r="C72"/>
  <c r="C71"/>
  <c r="H72"/>
  <c r="H71"/>
  <c r="I71"/>
  <c r="I72"/>
  <c r="D71"/>
  <c r="D72"/>
  <c r="F70"/>
  <c r="F46"/>
  <c r="K61"/>
  <c r="K65" s="1"/>
  <c r="K66" s="1"/>
  <c r="K67" s="1"/>
  <c r="K44"/>
  <c r="K45" s="1"/>
  <c r="E70"/>
  <c r="E46"/>
  <c r="P29" l="1"/>
  <c r="N29"/>
  <c r="M45"/>
  <c r="M36"/>
  <c r="F71"/>
  <c r="F72"/>
  <c r="K46"/>
  <c r="K70"/>
  <c r="G27" i="13"/>
  <c r="G31" s="1"/>
  <c r="Q16" i="8"/>
  <c r="E71"/>
  <c r="E72"/>
  <c r="J72"/>
  <c r="J71"/>
  <c r="N25"/>
  <c r="B38"/>
  <c r="P64"/>
  <c r="N64"/>
  <c r="Q15"/>
  <c r="P25"/>
  <c r="L44"/>
  <c r="L45" s="1"/>
  <c r="L61"/>
  <c r="L65" s="1"/>
  <c r="L66" s="1"/>
  <c r="L67" s="1"/>
  <c r="N62"/>
  <c r="P62"/>
  <c r="P63"/>
  <c r="N63"/>
  <c r="Q29" l="1"/>
  <c r="N36"/>
  <c r="M37"/>
  <c r="M70"/>
  <c r="M46"/>
  <c r="N38"/>
  <c r="B39"/>
  <c r="N39" s="1"/>
  <c r="K71"/>
  <c r="K72"/>
  <c r="L46"/>
  <c r="L70"/>
  <c r="Q63"/>
  <c r="Q64"/>
  <c r="Q62"/>
  <c r="Q25"/>
  <c r="P37" l="1"/>
  <c r="N37"/>
  <c r="M71"/>
  <c r="M72"/>
  <c r="B40"/>
  <c r="L71"/>
  <c r="L72"/>
  <c r="Q37" l="1"/>
  <c r="N40"/>
  <c r="B41"/>
  <c r="N41" s="1"/>
  <c r="P42" l="1"/>
  <c r="B42"/>
  <c r="B61" l="1"/>
  <c r="N42"/>
  <c r="Q42" s="1"/>
  <c r="B44"/>
  <c r="P61" l="1"/>
  <c r="B65"/>
  <c r="N61"/>
  <c r="N44"/>
  <c r="B45"/>
  <c r="N43" l="1"/>
  <c r="P44" s="1"/>
  <c r="Q44" s="1"/>
  <c r="P45"/>
  <c r="N65"/>
  <c r="B66"/>
  <c r="B70" s="1"/>
  <c r="Q61"/>
  <c r="P65"/>
  <c r="B46"/>
  <c r="N45"/>
  <c r="P46" l="1"/>
  <c r="P70"/>
  <c r="B72"/>
  <c r="N70"/>
  <c r="B71"/>
  <c r="B67"/>
  <c r="N66"/>
  <c r="N46"/>
  <c r="Q45"/>
  <c r="Q65"/>
  <c r="P66"/>
  <c r="Q46" l="1"/>
  <c r="P71"/>
  <c r="P72"/>
  <c r="N71"/>
  <c r="N72"/>
  <c r="Q70"/>
  <c r="N67"/>
  <c r="Q66"/>
  <c r="Q72" l="1"/>
  <c r="F75"/>
  <c r="C8" i="14" s="1"/>
  <c r="Q71" i="8"/>
  <c r="F74"/>
  <c r="Q73" l="1"/>
  <c r="D8" i="14"/>
  <c r="C9"/>
  <c r="C10" s="1"/>
  <c r="C11" s="1"/>
  <c r="E8" l="1"/>
  <c r="D9"/>
  <c r="E9" l="1"/>
  <c r="D10"/>
  <c r="D11" l="1"/>
  <c r="E10"/>
  <c r="E23" l="1"/>
  <c r="E16"/>
  <c r="E19"/>
  <c r="E11"/>
  <c r="E14" s="1"/>
</calcChain>
</file>

<file path=xl/comments1.xml><?xml version="1.0" encoding="utf-8"?>
<comments xmlns="http://schemas.openxmlformats.org/spreadsheetml/2006/main">
  <authors>
    <author>tporter</author>
  </authors>
  <commentList>
    <comment ref="K122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3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4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5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6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7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8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29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30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31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32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  <comment ref="K133" authorId="0">
      <text>
        <r>
          <rPr>
            <b/>
            <sz val="9"/>
            <color indexed="81"/>
            <rFont val="Tahoma"/>
            <family val="2"/>
          </rPr>
          <t>tporter:</t>
        </r>
        <r>
          <rPr>
            <sz val="9"/>
            <color indexed="81"/>
            <rFont val="Tahoma"/>
            <family val="2"/>
          </rPr>
          <t xml:space="preserve">
Amount consists of 13 total meters, of which only 7 receive meter charges</t>
        </r>
      </text>
    </comment>
  </commentList>
</comments>
</file>

<file path=xl/sharedStrings.xml><?xml version="1.0" encoding="utf-8"?>
<sst xmlns="http://schemas.openxmlformats.org/spreadsheetml/2006/main" count="702" uniqueCount="254">
  <si>
    <t>Total</t>
  </si>
  <si>
    <t xml:space="preserve">Monthly </t>
  </si>
  <si>
    <t>30 Year Normal</t>
  </si>
  <si>
    <t>Excess</t>
  </si>
  <si>
    <t>Monthly</t>
  </si>
  <si>
    <t>30 year</t>
  </si>
  <si>
    <t>Ave</t>
  </si>
  <si>
    <t>Usage per</t>
  </si>
  <si>
    <t>Base</t>
  </si>
  <si>
    <t>Customer</t>
  </si>
  <si>
    <t>normal</t>
  </si>
  <si>
    <t>Percent</t>
  </si>
  <si>
    <t>Volume</t>
  </si>
  <si>
    <t>Usage</t>
  </si>
  <si>
    <t>GS - residential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</si>
  <si>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</si>
  <si>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</si>
  <si>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</si>
  <si>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</si>
  <si>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</si>
  <si>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</si>
  <si>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</si>
  <si>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</si>
  <si>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</si>
  <si>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</si>
  <si>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</si>
  <si>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</si>
  <si>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AVG</t>
  </si>
  <si>
    <t>LVS</t>
  </si>
  <si>
    <t>Southern Missouri Natural Gas</t>
  </si>
  <si>
    <t>Springfield</t>
  </si>
  <si>
    <t>LGS</t>
  </si>
  <si>
    <t>Branson System</t>
  </si>
  <si>
    <t>Branson</t>
  </si>
  <si>
    <t>Volumes Hedged</t>
  </si>
  <si>
    <t>Pricing</t>
  </si>
  <si>
    <t>Total/Avg</t>
  </si>
  <si>
    <t>Total Cost</t>
  </si>
  <si>
    <t>Description</t>
  </si>
  <si>
    <t>GS - Residential</t>
  </si>
  <si>
    <t>GS - Residential (Optional)</t>
  </si>
  <si>
    <t>Commercial General</t>
  </si>
  <si>
    <t>Commercial (Optional)</t>
  </si>
  <si>
    <t>Weighted Average Fixed Price Hedge ($/Dth)</t>
  </si>
  <si>
    <t>Southern Star Central Gas Pipeline Fuel Percentages</t>
  </si>
  <si>
    <t>Storage Fuel</t>
  </si>
  <si>
    <t>Production Zone</t>
  </si>
  <si>
    <t>Market Zone</t>
  </si>
  <si>
    <t>Southern Star Central Gas Pipeline Contracts</t>
  </si>
  <si>
    <t>Storage Contract - SA16455</t>
  </si>
  <si>
    <t>Reservation Charges ($/Dth)</t>
  </si>
  <si>
    <t>Commodity Charges (CMB)</t>
  </si>
  <si>
    <t>Commodity Charges (CMD)</t>
  </si>
  <si>
    <t>Gas Transportation Contract - TA814 (Production Zone)</t>
  </si>
  <si>
    <t>Firm Reservation Demand (Dth/Day)</t>
  </si>
  <si>
    <t>Gas Transportation Contract - TA16345 (Market Zone) - Branson</t>
  </si>
  <si>
    <t>Gas Transportation Contract - TA10757 (Market Zone) - Rogersville</t>
  </si>
  <si>
    <t>Gas Transportation Contract - TA797 (Market Zone) - Rogersville</t>
  </si>
  <si>
    <t>Commodity Charges (ORI)</t>
  </si>
  <si>
    <t>Surcharge (ACA)</t>
  </si>
  <si>
    <t>Net Delivered Volume to Market Zone</t>
  </si>
  <si>
    <t>Net Volumes Required to Meet Demand Requirements</t>
  </si>
  <si>
    <t>Net Purchase Volumes Required to Meet Demand Requirements</t>
  </si>
  <si>
    <t>Storage Withdrawals</t>
  </si>
  <si>
    <t>EOM Storage Balance</t>
  </si>
  <si>
    <t>Net Storage Injection</t>
  </si>
  <si>
    <t>Gross Volumes Required at Market Zone</t>
  </si>
  <si>
    <t>Estimated Storage WACOG</t>
  </si>
  <si>
    <t>Total Cost of Gas Delivered to Market Zone</t>
  </si>
  <si>
    <t>Estimated Storage Value</t>
  </si>
  <si>
    <t>TOTAL COST OF GAS SUPPLY TO MEET DEMAND REQUIREMENTS</t>
  </si>
  <si>
    <t>Weighted Average Cost of Gas to Meet Demand Requirements ($/Dth)</t>
  </si>
  <si>
    <t>Total Estimated Cost of Swing Purchases</t>
  </si>
  <si>
    <t>Storage Contract - SA16455 (3,000 dth/day)</t>
  </si>
  <si>
    <t>Gas Transportation Contract/Market Zone - TA797 (10,100 dth/day)</t>
  </si>
  <si>
    <t>Gas Transportation Contract/Market Zone - TA10757 (5,000 dth/day)</t>
  </si>
  <si>
    <t>Gas Transportation Contract/Market Zone - TA16345 (5,000 dth/day)</t>
  </si>
  <si>
    <t>Southern Star Firm Reservation Demand Charges</t>
  </si>
  <si>
    <t>Total Firm Demand Reservation Costs (All Contracts)</t>
  </si>
  <si>
    <t>Southern Star Firm Commodity Charges</t>
  </si>
  <si>
    <t>Gas Transportation Contract/Production Zone - TA814</t>
  </si>
  <si>
    <t>Total Commodity Charges</t>
  </si>
  <si>
    <t>Gas Transportation Contract/Market Zone - TA797 (Based on 50% of Requirement)</t>
  </si>
  <si>
    <t>Gas Transportation Contract/Market Zone - TA10757 (based on 25% of Requirement)</t>
  </si>
  <si>
    <t>Gas Transportation Contract/Market Zone - TA16345 (Based on 25% of Requirement)</t>
  </si>
  <si>
    <t>Total Firm Commodity Costs (All Contracts)</t>
  </si>
  <si>
    <t>TOTAL DELIVERED COST OF GAS</t>
  </si>
  <si>
    <t>Total Estimated SMNG Delivered Gas Costs</t>
  </si>
  <si>
    <t>Total Estimated SMNG Upstream Delivery Costs</t>
  </si>
  <si>
    <t>Total Estimated SMNG Gas Supply Requirements (Flowing and Storage)</t>
  </si>
  <si>
    <t>Notes:</t>
  </si>
  <si>
    <t xml:space="preserve">Swing Purchases - Gross Volumes Required at Production Zone </t>
  </si>
  <si>
    <t>Storage Purchases (Dth) (see Note 3)</t>
  </si>
  <si>
    <t>Cost of Gas Withdrawn From Storage (see Note 3)</t>
  </si>
  <si>
    <t>Mcf</t>
  </si>
  <si>
    <t>Dth</t>
  </si>
  <si>
    <t>Btu Factor</t>
  </si>
  <si>
    <t>Month</t>
  </si>
  <si>
    <t>Weighted Average Cost of Gas to Meet Demand Requirements ($/Mcf)</t>
  </si>
  <si>
    <t>Estimated Total SMNG Retail Sales - Dth</t>
  </si>
  <si>
    <t>NYMEX</t>
  </si>
  <si>
    <t>Basis</t>
  </si>
  <si>
    <t>Commodity</t>
  </si>
  <si>
    <t>Commodity Charges (INJ/WD)</t>
  </si>
  <si>
    <r>
      <t>(1)</t>
    </r>
    <r>
      <rPr>
        <sz val="8"/>
        <color indexed="8"/>
        <rFont val="Calibri"/>
        <family val="2"/>
      </rPr>
      <t xml:space="preserve"> Estimated NYMEX Basis Differential and</t>
    </r>
  </si>
  <si>
    <t>Historical Btu Factor (See Note 1)</t>
  </si>
  <si>
    <t>Estimated Price of Storage Purchases Delivered to Production Zone</t>
  </si>
  <si>
    <t>Estimated Price of Swing Purchases Delivered to Production Zone</t>
  </si>
  <si>
    <t>RPGA $/Dth - see Note 5</t>
  </si>
  <si>
    <t>RPGA $/Mcf - see Note 6</t>
  </si>
  <si>
    <t>Attachment 2</t>
  </si>
  <si>
    <t>EOM Balances</t>
  </si>
  <si>
    <t>in Acct 191</t>
  </si>
  <si>
    <t>(note 1)</t>
  </si>
  <si>
    <t>Total projected sales volume - Mcf</t>
  </si>
  <si>
    <t xml:space="preserve">(1)  End of month account 191 balance taken from general ledger and includes monthly </t>
  </si>
  <si>
    <t>Attachment 3</t>
  </si>
  <si>
    <t>Existing</t>
  </si>
  <si>
    <t>Proposed</t>
  </si>
  <si>
    <t>PGA</t>
  </si>
  <si>
    <t>Revenue Impact</t>
  </si>
  <si>
    <t>Factor</t>
  </si>
  <si>
    <t>Change</t>
  </si>
  <si>
    <t>(Winter Season)</t>
  </si>
  <si>
    <t>Estimated Winter Season Change in Revenue</t>
  </si>
  <si>
    <t>Percent Change between PGA Factors</t>
  </si>
  <si>
    <t>Change in ave winter month residential bill</t>
  </si>
  <si>
    <t xml:space="preserve">Percent change on ave winter </t>
  </si>
  <si>
    <t xml:space="preserve">  residential bill (note 1)</t>
  </si>
  <si>
    <t xml:space="preserve">              (1)    average winter usage per residential meter in ccf</t>
  </si>
  <si>
    <t xml:space="preserve">      total</t>
  </si>
  <si>
    <t>average</t>
  </si>
  <si>
    <t>Customers</t>
  </si>
  <si>
    <t>Average</t>
  </si>
  <si>
    <t>System</t>
  </si>
  <si>
    <t>Attachment 1 - RPGA Calculation Spreadsheet</t>
  </si>
  <si>
    <r>
      <t xml:space="preserve">(1) </t>
    </r>
    <r>
      <rPr>
        <sz val="10"/>
        <color indexed="8"/>
        <rFont val="Calibri"/>
        <family val="2"/>
      </rPr>
      <t>The reservation rate for Contract # 10757 consists of the following:</t>
    </r>
  </si>
  <si>
    <r>
      <t>(b)</t>
    </r>
    <r>
      <rPr>
        <sz val="10"/>
        <color indexed="8"/>
        <rFont val="Calibri"/>
        <family val="2"/>
      </rPr>
      <t xml:space="preserve"> - Southern Star FTS-M Ozark Trails Incremental Charge 2 </t>
    </r>
  </si>
  <si>
    <r>
      <t xml:space="preserve">Reservation Charges ($/Dth) - </t>
    </r>
    <r>
      <rPr>
        <b/>
        <sz val="8"/>
        <color indexed="10"/>
        <rFont val="Calibri"/>
        <family val="2"/>
      </rPr>
      <t>See Note 1</t>
    </r>
  </si>
  <si>
    <t>Check Sum</t>
  </si>
  <si>
    <t>- Delivery Rates and Fuel Percentages</t>
  </si>
  <si>
    <t>- Capacity Release Credits</t>
  </si>
  <si>
    <t>- Demand Requirements</t>
  </si>
  <si>
    <t>Summit Natural Gas of Missouri</t>
  </si>
  <si>
    <t xml:space="preserve">Calculation of Percent of Total Natural Gas By Customer Class Assigned to Each Month - HDD </t>
  </si>
  <si>
    <t>Total Retail</t>
  </si>
  <si>
    <t>GS - residential - optional</t>
  </si>
  <si>
    <r>
      <t xml:space="preserve">Count </t>
    </r>
    <r>
      <rPr>
        <b/>
        <sz val="10"/>
        <color indexed="10"/>
        <rFont val="Arial"/>
        <family val="2"/>
      </rPr>
      <t>(1)</t>
    </r>
  </si>
  <si>
    <t>GS -  commercial</t>
  </si>
  <si>
    <t>GS -  commercial - optional</t>
  </si>
  <si>
    <t xml:space="preserve">Count </t>
  </si>
  <si>
    <r>
      <rPr>
        <b/>
        <sz val="10"/>
        <color indexed="10"/>
        <rFont val="Arial"/>
        <family val="2"/>
      </rPr>
      <t>(1)</t>
    </r>
    <r>
      <rPr>
        <sz val="10"/>
        <rFont val="Arial"/>
        <family val="2"/>
      </rPr>
      <t xml:space="preserve"> Customer counts taken from the customer shaping SMNG file.</t>
    </r>
  </si>
  <si>
    <t>Rogersville System</t>
  </si>
  <si>
    <t>Rogersville</t>
  </si>
  <si>
    <r>
      <t>Count</t>
    </r>
    <r>
      <rPr>
        <b/>
        <sz val="10"/>
        <color indexed="10"/>
        <rFont val="Arial"/>
        <family val="2"/>
      </rPr>
      <t xml:space="preserve"> (1)</t>
    </r>
  </si>
  <si>
    <t xml:space="preserve">Notes: </t>
  </si>
  <si>
    <t>Total Estimated SMNG Gas Demand Requirements in Dth</t>
  </si>
  <si>
    <t>Fixed Price Weighted Average</t>
  </si>
  <si>
    <t>Total Volumes Hedged @ Production Zone</t>
  </si>
  <si>
    <t>Estimated Total SMNG Retail Sales - Mcf</t>
  </si>
  <si>
    <t>Deferred Natural Gas Cost Recovery</t>
  </si>
  <si>
    <t>in Mcf</t>
  </si>
  <si>
    <t>TOTAL COST OF UPSTREAM DELIVERY SERVICES TO MEET DEMAND REQUIREMENTS</t>
  </si>
  <si>
    <t>Weighted Average Cost of Upstream Costs to Meet Demand Requirements ($/Dth)</t>
  </si>
  <si>
    <t>Storage Contract - SA16455 (Withdrawal)</t>
  </si>
  <si>
    <r>
      <t>(1)</t>
    </r>
    <r>
      <rPr>
        <sz val="8"/>
        <color indexed="8"/>
        <rFont val="Calibri"/>
        <family val="2"/>
      </rPr>
      <t xml:space="preserve"> Usage updated per Southern Star monthly usage </t>
    </r>
  </si>
  <si>
    <t>Total Cost of Storage Injections (includes Storage Injection Comm Charges)</t>
  </si>
  <si>
    <t>Amount per Ccf to  thirty first Revised Sheet No. 27</t>
  </si>
  <si>
    <t>Summit Natural Gas of Missouri - Rogersville and Branson</t>
  </si>
  <si>
    <r>
      <t>(a)</t>
    </r>
    <r>
      <rPr>
        <sz val="10"/>
        <color indexed="8"/>
        <rFont val="Calibri"/>
        <family val="2"/>
      </rPr>
      <t xml:space="preserve"> - Southern Star FTS-M Firm Reservation of $ .1586/dth</t>
    </r>
  </si>
  <si>
    <t>of $ .0685/dth</t>
  </si>
  <si>
    <t>Volumes in Dt's - Converted to Mcf</t>
  </si>
  <si>
    <t>BTU (2)</t>
  </si>
  <si>
    <t>Demand - Mcf</t>
  </si>
  <si>
    <t>Volumes in Dt's - Converted to Mcf for Rate Design</t>
  </si>
  <si>
    <r>
      <rPr>
        <b/>
        <sz val="10"/>
        <color indexed="10"/>
        <rFont val="Arial"/>
        <family val="2"/>
      </rPr>
      <t>(1)</t>
    </r>
    <r>
      <rPr>
        <sz val="10"/>
        <rFont val="Arial"/>
        <family val="2"/>
      </rPr>
      <t xml:space="preserve"> Customer counts taken from the Customer Shaping 2014 PGA</t>
    </r>
  </si>
  <si>
    <t>Tier 1 - Fixed Price (Transaction completed on 6/18/14) - ConocoPhillips</t>
  </si>
  <si>
    <t>Tier 2 - Fixed Price (Transaction completed on 7/8/14) - BP Energy</t>
  </si>
  <si>
    <t>Estimated Annual Cost of Natural Gas Delivered Ended November 30, 2015</t>
  </si>
  <si>
    <t>FOM Storage Balance (assumes a 10,000 withdrawal in Nov. 2014)</t>
  </si>
  <si>
    <t>(5) The RPGA $/Dth is the Total Cost of gas delivered to the Citygate divided by the Total Dth Retail Sales (December 2014 - November 2015).</t>
  </si>
  <si>
    <t>As of October 8, 2014, the following has been updated:</t>
  </si>
  <si>
    <t>Totals</t>
  </si>
  <si>
    <t>Total Dths</t>
  </si>
  <si>
    <t>Total Costs</t>
  </si>
  <si>
    <t>Tier 3 - Fixed Price (Transaction completed on 8/19/14) - ConocoPhillips</t>
  </si>
  <si>
    <t>reports (updated 10/8/14).</t>
  </si>
  <si>
    <t>Production Zone Fuel of 1.30% (Hedged Volumes)</t>
  </si>
  <si>
    <t>Storage Fuel of 3.17%</t>
  </si>
  <si>
    <t>Market Zone Fuel of 1.14%</t>
  </si>
  <si>
    <t>Production Zone Fuel of 1.30%</t>
  </si>
  <si>
    <t>Gas Transportation Contract/Production Zone - TA814 (14,000 dth/day)</t>
  </si>
  <si>
    <t>Estimated</t>
  </si>
  <si>
    <t>(P-N)</t>
  </si>
  <si>
    <t>Swing Price</t>
  </si>
  <si>
    <t>(1) Demand requirements have been developed in MMBtu and also in Mcf.</t>
  </si>
  <si>
    <t>(2) Cost of Swing Purchases into the Production Zone are based on current NYMEX Basis Differentials netted against the current NYMEX Commodity Price (estimated price is subject to change).</t>
  </si>
  <si>
    <t>(3) Storage management is based on Southern Star withdrawal and injection schedules and assumes compliance which results in overrun charge avoidance.</t>
  </si>
  <si>
    <t>Effective Rates as of October 2014 (verified &amp; updated 10/8/14)</t>
  </si>
  <si>
    <t>PMI</t>
  </si>
  <si>
    <t>PZ</t>
  </si>
  <si>
    <t>So Star L&amp;U (Fuel)</t>
  </si>
  <si>
    <r>
      <t>Contract</t>
    </r>
    <r>
      <rPr>
        <b/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(1)</t>
    </r>
  </si>
  <si>
    <r>
      <t xml:space="preserve">(1) </t>
    </r>
    <r>
      <rPr>
        <sz val="11"/>
        <color theme="1"/>
        <rFont val="Calibri"/>
        <family val="2"/>
        <scheme val="minor"/>
      </rPr>
      <t>Contract Capacity Release volumes per currently in</t>
    </r>
  </si>
  <si>
    <t>effect Pool Operator Agreement (as of September 2014).</t>
  </si>
  <si>
    <r>
      <t xml:space="preserve">(1) </t>
    </r>
    <r>
      <rPr>
        <sz val="11"/>
        <color theme="1"/>
        <rFont val="Calibri"/>
        <family val="2"/>
        <scheme val="minor"/>
      </rPr>
      <t>Contract Capacity Release volumes per previous</t>
    </r>
  </si>
  <si>
    <t>Projected (1)</t>
  </si>
  <si>
    <t>TOTAL monthly capacity releases for the past 12 months.</t>
  </si>
  <si>
    <t>Other Continuum Energy Markets</t>
  </si>
  <si>
    <t>Volumes to be used in Attachment 1</t>
  </si>
  <si>
    <t>Reference records in SMNG Client Folder for Capacity</t>
  </si>
  <si>
    <t>Release.</t>
  </si>
  <si>
    <t xml:space="preserve">(6) The RPGA $/Mcf is the projected RPGA $/Dth Rate multiplied by the monthly Btu Factor for the October 2013 - September 2014 period per Btu Factor Calculations Tab. </t>
  </si>
  <si>
    <r>
      <t xml:space="preserve">Per Dave Moody, SNGM has secured an additional 4,000 dth/day of firm capacity </t>
    </r>
    <r>
      <rPr>
        <b/>
        <sz val="11"/>
        <color indexed="10"/>
        <rFont val="Calibri"/>
        <family val="2"/>
      </rPr>
      <t xml:space="preserve">(14,000 dth/day total) </t>
    </r>
    <r>
      <rPr>
        <sz val="11"/>
        <color indexed="10"/>
        <rFont val="Calibri"/>
        <family val="2"/>
      </rPr>
      <t>at the Southern Star Production Zone effective November 1, 2014.</t>
    </r>
  </si>
  <si>
    <r>
      <t xml:space="preserve">Estimated Capacity Release Credits </t>
    </r>
    <r>
      <rPr>
        <b/>
        <sz val="11"/>
        <color indexed="57"/>
        <rFont val="Calibri"/>
        <family val="2"/>
      </rPr>
      <t xml:space="preserve">(Production Zone) </t>
    </r>
    <r>
      <rPr>
        <sz val="11"/>
        <color theme="1"/>
        <rFont val="Calibri"/>
        <family val="2"/>
        <scheme val="minor"/>
      </rPr>
      <t>- See Note 4</t>
    </r>
  </si>
  <si>
    <r>
      <t xml:space="preserve">Estimated Capacity Release Credits </t>
    </r>
    <r>
      <rPr>
        <b/>
        <sz val="11"/>
        <color indexed="49"/>
        <rFont val="Calibri"/>
        <family val="2"/>
      </rPr>
      <t>(Market Zone)</t>
    </r>
    <r>
      <rPr>
        <sz val="11"/>
        <color indexed="49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- See Note 4</t>
    </r>
  </si>
  <si>
    <t xml:space="preserve">Estimated FOM Storage WACOG ($/Dth) </t>
  </si>
  <si>
    <t>October 1st</t>
  </si>
  <si>
    <t>Storage</t>
  </si>
  <si>
    <t>WACOG</t>
  </si>
  <si>
    <t>Balance (Dth)</t>
  </si>
  <si>
    <t>Cost of Gas</t>
  </si>
  <si>
    <t>in Storage</t>
  </si>
  <si>
    <t>Gross</t>
  </si>
  <si>
    <t>Dth/Day</t>
  </si>
  <si>
    <t>Net</t>
  </si>
  <si>
    <t>Gas Supply</t>
  </si>
  <si>
    <t>$/Dth</t>
  </si>
  <si>
    <t>Cost of</t>
  </si>
  <si>
    <t>Gas/Mo</t>
  </si>
  <si>
    <t>Estimated Cost of Gas in Storage as of Nov. 1, 2014</t>
  </si>
  <si>
    <t>Estimated Storage WACOG as of Nov. 1, 2014</t>
  </si>
  <si>
    <t>Estimated Storage Balance as of Nov. 1, 2014</t>
  </si>
  <si>
    <t>Southern Star L&amp;U</t>
  </si>
  <si>
    <t>Pool Operator Agreement Capacity Release Vols</t>
  </si>
  <si>
    <t>(2) Btu factors per previous 12 months (October 2013 - September 2014) actuals as calculated</t>
  </si>
  <si>
    <t>BTU Factors for 2014 PGA</t>
  </si>
  <si>
    <t>(4) Capacity release credits are based on the sum of the the currently in effect Pool Operator Agreement and previous 12 months of capacity releases requested on a monthly basis by Pool Operator for other markets.</t>
  </si>
  <si>
    <t>Estimated November 1st Storage Data</t>
  </si>
  <si>
    <t>Projected October 2014 Storage Injection Activity</t>
  </si>
  <si>
    <t>August 31, 2014 balance to be recovered</t>
  </si>
  <si>
    <t>2013 - 2014 ACA Year</t>
  </si>
  <si>
    <t>August 2013</t>
  </si>
  <si>
    <t>January 2014</t>
  </si>
  <si>
    <t>2014 PGA - Attachment 3 Support</t>
  </si>
  <si>
    <t>Winter Residential Volume Mcf</t>
  </si>
  <si>
    <t>Usage Mcf</t>
  </si>
  <si>
    <t xml:space="preserve">      interest accruals based on instructions in SMNG tariff 3rd Revised Sheet No. 22</t>
  </si>
  <si>
    <t>NYMEX Commodity prices as of October 14, 2014</t>
  </si>
  <si>
    <t>at approximately 10:59 AM MT (NYMEX Basis)</t>
  </si>
  <si>
    <t>2014-2015 Winter Season Revenue Impact from Winter PGA Filing</t>
  </si>
  <si>
    <t>Summit Natural Gas of Missouri, Inc - Rogersville and Branson</t>
  </si>
  <si>
    <t>Summit Natural Gas of Missouri, Inc. - Rogersville and Branson</t>
  </si>
  <si>
    <t>2014/2015 Winter Strip and Storage Hedging Data</t>
  </si>
</sst>
</file>

<file path=xl/styles.xml><?xml version="1.0" encoding="utf-8"?>
<styleSheet xmlns="http://schemas.openxmlformats.org/spreadsheetml/2006/main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\ yy"/>
    <numFmt numFmtId="166" formatCode="_(* #,##0.00_);_(* \(#,##0.00\);_(* &quot;-&quot;_);_(@_)"/>
    <numFmt numFmtId="167" formatCode="_(&quot;$&quot;* #,##0.000_);_(&quot;$&quot;* \(#,##0.000\);_(&quot;$&quot;* &quot;-&quot;???_);_(@_)"/>
    <numFmt numFmtId="168" formatCode="_(&quot;$&quot;* #,##0_);_(&quot;$&quot;* \(#,##0\);_(&quot;$&quot;* &quot;-&quot;??_);_(@_)"/>
    <numFmt numFmtId="169" formatCode="_(* #,##0.000_);_(* \(#,##0.000\);_(* &quot;-&quot;??_);_(@_)"/>
    <numFmt numFmtId="170" formatCode="0.000"/>
    <numFmt numFmtId="171" formatCode="0.0000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&quot;$&quot;#,##0.0000_);[Red]\(&quot;$&quot;#,##0.0000\)"/>
    <numFmt numFmtId="175" formatCode="#,##0.0000_);\(#,##0.0000\)"/>
    <numFmt numFmtId="176" formatCode="_(* #,##0.0000_);_(* \(#,##0.0000\);_(* &quot;-&quot;??_);_(@_)"/>
    <numFmt numFmtId="177" formatCode="&quot;$&quot;#,##0.0000_);\(&quot;$&quot;#,##0.0000\)"/>
  </numFmts>
  <fonts count="6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12"/>
      <name val="Century Gothic"/>
      <family val="2"/>
    </font>
    <font>
      <b/>
      <sz val="11"/>
      <color indexed="57"/>
      <name val="Calibri"/>
      <family val="2"/>
    </font>
    <font>
      <sz val="14"/>
      <color indexed="9"/>
      <name val="Arial Black"/>
      <family val="2"/>
    </font>
    <font>
      <b/>
      <sz val="12"/>
      <color indexed="9"/>
      <name val="Arial Black"/>
      <family val="2"/>
    </font>
    <font>
      <b/>
      <sz val="11"/>
      <color indexed="10"/>
      <name val="Calibri"/>
      <family val="2"/>
    </font>
    <font>
      <b/>
      <sz val="11"/>
      <color indexed="12"/>
      <name val="Calibri"/>
      <family val="2"/>
    </font>
    <font>
      <b/>
      <sz val="12"/>
      <color indexed="10"/>
      <name val="Calibri"/>
      <family val="2"/>
    </font>
    <font>
      <b/>
      <sz val="12"/>
      <color indexed="12"/>
      <name val="Calibri"/>
      <family val="2"/>
    </font>
    <font>
      <b/>
      <sz val="12"/>
      <color indexed="20"/>
      <name val="Calibri"/>
      <family val="2"/>
    </font>
    <font>
      <b/>
      <sz val="12"/>
      <color indexed="17"/>
      <name val="Calibri"/>
      <family val="2"/>
    </font>
    <font>
      <sz val="11"/>
      <color indexed="8"/>
      <name val="Calibri"/>
      <family val="2"/>
    </font>
    <font>
      <sz val="11"/>
      <color indexed="53"/>
      <name val="Calibri"/>
      <family val="2"/>
    </font>
    <font>
      <b/>
      <sz val="11"/>
      <color indexed="53"/>
      <name val="Calibri"/>
      <family val="2"/>
    </font>
    <font>
      <sz val="14"/>
      <color indexed="8"/>
      <name val="Arial Black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26"/>
      <color indexed="8"/>
      <name val="Arial Black"/>
      <family val="2"/>
    </font>
    <font>
      <sz val="20"/>
      <color indexed="8"/>
      <name val="Arial Black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17"/>
      <name val="Calibri"/>
      <family val="2"/>
    </font>
    <font>
      <sz val="10"/>
      <name val="Geneva"/>
    </font>
    <font>
      <b/>
      <sz val="10"/>
      <name val="Geneva"/>
    </font>
    <font>
      <sz val="14"/>
      <name val="Geneva"/>
    </font>
    <font>
      <b/>
      <sz val="14"/>
      <name val="Geneva"/>
    </font>
    <font>
      <sz val="14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b/>
      <sz val="11"/>
      <color indexed="48"/>
      <name val="Calibri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color indexed="49"/>
      <name val="Calibri"/>
      <family val="2"/>
    </font>
    <font>
      <b/>
      <sz val="11"/>
      <color indexed="49"/>
      <name val="Calibri"/>
      <family val="2"/>
    </font>
    <font>
      <sz val="11"/>
      <color indexed="8"/>
      <name val="Calibri"/>
      <family val="2"/>
    </font>
    <font>
      <sz val="10"/>
      <name val="Roman 17cpi"/>
    </font>
    <font>
      <sz val="10"/>
      <color indexed="8"/>
      <name val="Arial"/>
      <family val="2"/>
    </font>
    <font>
      <sz val="12"/>
      <name val="Arial MT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5" fillId="0" borderId="0" applyFont="0" applyFill="0" applyBorder="0" applyAlignment="0" applyProtection="0">
      <alignment vertical="top"/>
    </xf>
    <xf numFmtId="43" fontId="63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4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top"/>
    </xf>
    <xf numFmtId="44" fontId="64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67" fillId="0" borderId="0"/>
    <xf numFmtId="0" fontId="5" fillId="0" borderId="0"/>
    <xf numFmtId="0" fontId="65" fillId="0" borderId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10" fillId="0" borderId="0"/>
    <xf numFmtId="0" fontId="5" fillId="0" borderId="0"/>
    <xf numFmtId="0" fontId="41" fillId="0" borderId="0"/>
    <xf numFmtId="0" fontId="66" fillId="0" borderId="0"/>
    <xf numFmtId="0" fontId="5" fillId="0" borderId="0"/>
    <xf numFmtId="0" fontId="5" fillId="0" borderId="0"/>
    <xf numFmtId="0" fontId="5" fillId="0" borderId="0"/>
    <xf numFmtId="0" fontId="65" fillId="0" borderId="0">
      <alignment vertical="top"/>
    </xf>
    <xf numFmtId="0" fontId="5" fillId="0" borderId="0"/>
    <xf numFmtId="0" fontId="5" fillId="0" borderId="0"/>
    <xf numFmtId="0" fontId="67" fillId="0" borderId="0"/>
    <xf numFmtId="0" fontId="64" fillId="0" borderId="0"/>
    <xf numFmtId="0" fontId="64" fillId="0" borderId="0"/>
    <xf numFmtId="0" fontId="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398">
    <xf numFmtId="0" fontId="0" fillId="0" borderId="0" xfId="0"/>
    <xf numFmtId="164" fontId="5" fillId="0" borderId="0" xfId="1" applyNumberFormat="1" applyFont="1" applyFill="1"/>
    <xf numFmtId="164" fontId="5" fillId="0" borderId="0" xfId="1" applyNumberFormat="1" applyFont="1" applyFill="1" applyBorder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/>
    <xf numFmtId="17" fontId="9" fillId="0" borderId="0" xfId="38" applyNumberFormat="1" applyFont="1" applyFill="1" applyBorder="1"/>
    <xf numFmtId="164" fontId="0" fillId="0" borderId="0" xfId="0" applyNumberFormat="1"/>
    <xf numFmtId="164" fontId="11" fillId="0" borderId="0" xfId="0" applyNumberFormat="1" applyFont="1"/>
    <xf numFmtId="43" fontId="0" fillId="0" borderId="0" xfId="0" applyNumberFormat="1"/>
    <xf numFmtId="164" fontId="12" fillId="0" borderId="0" xfId="0" applyNumberFormat="1" applyFont="1"/>
    <xf numFmtId="0" fontId="13" fillId="0" borderId="0" xfId="0" applyFont="1" applyAlignment="1">
      <alignment horizontal="centerContinuous"/>
    </xf>
    <xf numFmtId="0" fontId="12" fillId="0" borderId="0" xfId="0" applyFont="1"/>
    <xf numFmtId="164" fontId="12" fillId="0" borderId="0" xfId="1" applyNumberFormat="1" applyFont="1"/>
    <xf numFmtId="0" fontId="18" fillId="0" borderId="0" xfId="0" applyFont="1"/>
    <xf numFmtId="41" fontId="18" fillId="0" borderId="0" xfId="0" applyNumberFormat="1" applyFont="1"/>
    <xf numFmtId="164" fontId="18" fillId="0" borderId="0" xfId="1" applyNumberFormat="1" applyFont="1"/>
    <xf numFmtId="0" fontId="19" fillId="0" borderId="0" xfId="0" applyFont="1"/>
    <xf numFmtId="43" fontId="18" fillId="0" borderId="0" xfId="0" applyNumberFormat="1" applyFont="1"/>
    <xf numFmtId="164" fontId="18" fillId="0" borderId="0" xfId="0" applyNumberFormat="1" applyFont="1"/>
    <xf numFmtId="165" fontId="19" fillId="0" borderId="2" xfId="0" applyNumberFormat="1" applyFont="1" applyBorder="1" applyAlignment="1">
      <alignment horizontal="center"/>
    </xf>
    <xf numFmtId="0" fontId="18" fillId="0" borderId="3" xfId="0" applyFont="1" applyBorder="1"/>
    <xf numFmtId="0" fontId="18" fillId="0" borderId="0" xfId="0" applyFont="1" applyBorder="1"/>
    <xf numFmtId="165" fontId="19" fillId="0" borderId="4" xfId="0" applyNumberFormat="1" applyFont="1" applyBorder="1" applyAlignment="1">
      <alignment horizontal="center"/>
    </xf>
    <xf numFmtId="41" fontId="20" fillId="0" borderId="0" xfId="0" applyNumberFormat="1" applyFont="1" applyBorder="1"/>
    <xf numFmtId="41" fontId="18" fillId="0" borderId="5" xfId="0" applyNumberFormat="1" applyFont="1" applyBorder="1"/>
    <xf numFmtId="167" fontId="20" fillId="0" borderId="0" xfId="0" applyNumberFormat="1" applyFont="1" applyBorder="1"/>
    <xf numFmtId="167" fontId="18" fillId="0" borderId="5" xfId="0" applyNumberFormat="1" applyFont="1" applyBorder="1"/>
    <xf numFmtId="166" fontId="19" fillId="0" borderId="0" xfId="0" applyNumberFormat="1" applyFont="1"/>
    <xf numFmtId="0" fontId="18" fillId="0" borderId="6" xfId="0" applyFont="1" applyBorder="1"/>
    <xf numFmtId="0" fontId="19" fillId="0" borderId="7" xfId="0" applyFont="1" applyBorder="1"/>
    <xf numFmtId="168" fontId="19" fillId="0" borderId="7" xfId="14" applyNumberFormat="1" applyFont="1" applyBorder="1"/>
    <xf numFmtId="168" fontId="19" fillId="0" borderId="8" xfId="0" applyNumberFormat="1" applyFont="1" applyBorder="1"/>
    <xf numFmtId="0" fontId="19" fillId="0" borderId="6" xfId="0" applyFont="1" applyBorder="1"/>
    <xf numFmtId="0" fontId="12" fillId="0" borderId="0" xfId="0" applyFont="1" applyAlignment="1">
      <alignment horizontal="center"/>
    </xf>
    <xf numFmtId="164" fontId="12" fillId="0" borderId="7" xfId="0" applyNumberFormat="1" applyFont="1" applyBorder="1"/>
    <xf numFmtId="0" fontId="12" fillId="0" borderId="9" xfId="0" applyFont="1" applyBorder="1" applyAlignment="1">
      <alignment horizontal="center"/>
    </xf>
    <xf numFmtId="17" fontId="12" fillId="0" borderId="9" xfId="0" applyNumberFormat="1" applyFont="1" applyBorder="1" applyAlignment="1">
      <alignment horizontal="center"/>
    </xf>
    <xf numFmtId="0" fontId="0" fillId="0" borderId="9" xfId="0" applyBorder="1"/>
    <xf numFmtId="164" fontId="46" fillId="0" borderId="9" xfId="1" applyNumberFormat="1" applyFont="1" applyBorder="1"/>
    <xf numFmtId="41" fontId="0" fillId="0" borderId="0" xfId="0" applyNumberFormat="1"/>
    <xf numFmtId="172" fontId="46" fillId="0" borderId="0" xfId="14" applyNumberFormat="1" applyFont="1"/>
    <xf numFmtId="173" fontId="46" fillId="0" borderId="9" xfId="14" applyNumberFormat="1" applyFont="1" applyBorder="1"/>
    <xf numFmtId="173" fontId="12" fillId="0" borderId="9" xfId="14" applyNumberFormat="1" applyFont="1" applyBorder="1"/>
    <xf numFmtId="164" fontId="12" fillId="0" borderId="9" xfId="1" applyNumberFormat="1" applyFont="1" applyBorder="1"/>
    <xf numFmtId="0" fontId="30" fillId="0" borderId="0" xfId="0" applyFont="1"/>
    <xf numFmtId="164" fontId="0" fillId="0" borderId="0" xfId="0" applyNumberFormat="1" applyBorder="1"/>
    <xf numFmtId="0" fontId="32" fillId="0" borderId="0" xfId="0" applyFont="1"/>
    <xf numFmtId="0" fontId="31" fillId="0" borderId="0" xfId="0" applyFont="1"/>
    <xf numFmtId="168" fontId="32" fillId="0" borderId="7" xfId="14" applyNumberFormat="1" applyFont="1" applyBorder="1"/>
    <xf numFmtId="168" fontId="46" fillId="0" borderId="0" xfId="14" applyNumberFormat="1" applyFont="1" applyBorder="1"/>
    <xf numFmtId="0" fontId="12" fillId="0" borderId="0" xfId="0" applyFont="1" applyFill="1" applyBorder="1" applyAlignment="1">
      <alignment horizontal="right"/>
    </xf>
    <xf numFmtId="168" fontId="12" fillId="0" borderId="0" xfId="0" applyNumberFormat="1" applyFont="1"/>
    <xf numFmtId="0" fontId="0" fillId="0" borderId="0" xfId="0" applyAlignment="1">
      <alignment horizontal="right"/>
    </xf>
    <xf numFmtId="168" fontId="32" fillId="0" borderId="7" xfId="0" applyNumberFormat="1" applyFont="1" applyBorder="1"/>
    <xf numFmtId="0" fontId="12" fillId="0" borderId="10" xfId="0" applyFont="1" applyFill="1" applyBorder="1" applyAlignment="1">
      <alignment horizontal="right"/>
    </xf>
    <xf numFmtId="172" fontId="12" fillId="0" borderId="11" xfId="14" applyNumberFormat="1" applyFont="1" applyFill="1" applyBorder="1"/>
    <xf numFmtId="164" fontId="12" fillId="0" borderId="11" xfId="0" applyNumberFormat="1" applyFont="1" applyBorder="1"/>
    <xf numFmtId="0" fontId="34" fillId="0" borderId="0" xfId="0" applyFont="1" applyAlignment="1">
      <alignment horizontal="right"/>
    </xf>
    <xf numFmtId="0" fontId="12" fillId="0" borderId="12" xfId="0" applyFont="1" applyBorder="1" applyAlignment="1">
      <alignment horizontal="center"/>
    </xf>
    <xf numFmtId="17" fontId="0" fillId="0" borderId="9" xfId="0" applyNumberFormat="1" applyBorder="1"/>
    <xf numFmtId="170" fontId="0" fillId="0" borderId="9" xfId="0" applyNumberFormat="1" applyBorder="1"/>
    <xf numFmtId="17" fontId="0" fillId="0" borderId="0" xfId="0" applyNumberFormat="1"/>
    <xf numFmtId="164" fontId="40" fillId="0" borderId="12" xfId="1" applyNumberFormat="1" applyFont="1" applyBorder="1"/>
    <xf numFmtId="169" fontId="16" fillId="0" borderId="0" xfId="0" applyNumberFormat="1" applyFont="1" applyBorder="1"/>
    <xf numFmtId="0" fontId="39" fillId="0" borderId="0" xfId="0" applyFont="1" applyAlignment="1">
      <alignment horizontal="right"/>
    </xf>
    <xf numFmtId="0" fontId="41" fillId="0" borderId="0" xfId="27" applyFill="1" applyBorder="1"/>
    <xf numFmtId="38" fontId="41" fillId="0" borderId="0" xfId="5" applyNumberFormat="1" applyFont="1" applyFill="1" applyBorder="1"/>
    <xf numFmtId="0" fontId="41" fillId="0" borderId="0" xfId="27" applyBorder="1" applyAlignment="1">
      <alignment horizontal="center"/>
    </xf>
    <xf numFmtId="0" fontId="41" fillId="0" borderId="0" xfId="27"/>
    <xf numFmtId="0" fontId="41" fillId="0" borderId="0" xfId="27" applyAlignment="1">
      <alignment horizontal="center"/>
    </xf>
    <xf numFmtId="0" fontId="41" fillId="0" borderId="1" xfId="27" applyBorder="1" applyAlignment="1">
      <alignment horizontal="center"/>
    </xf>
    <xf numFmtId="0" fontId="44" fillId="0" borderId="0" xfId="27" applyFont="1" applyAlignment="1">
      <alignment horizontal="centerContinuous"/>
    </xf>
    <xf numFmtId="0" fontId="41" fillId="0" borderId="0" xfId="27" applyFill="1"/>
    <xf numFmtId="0" fontId="41" fillId="0" borderId="0" xfId="27" applyBorder="1"/>
    <xf numFmtId="0" fontId="41" fillId="0" borderId="0" xfId="27" quotePrefix="1"/>
    <xf numFmtId="0" fontId="44" fillId="0" borderId="0" xfId="27" applyFont="1" applyAlignment="1">
      <alignment horizontal="left"/>
    </xf>
    <xf numFmtId="0" fontId="41" fillId="0" borderId="0" xfId="27" applyAlignment="1">
      <alignment horizontal="left"/>
    </xf>
    <xf numFmtId="0" fontId="41" fillId="0" borderId="0" xfId="27" applyFill="1" applyBorder="1" applyAlignment="1">
      <alignment horizontal="center"/>
    </xf>
    <xf numFmtId="10" fontId="41" fillId="0" borderId="0" xfId="43" applyNumberFormat="1" applyFont="1" applyBorder="1"/>
    <xf numFmtId="168" fontId="41" fillId="0" borderId="0" xfId="15" applyNumberFormat="1" applyFont="1" applyBorder="1"/>
    <xf numFmtId="168" fontId="41" fillId="0" borderId="0" xfId="5" applyNumberFormat="1" applyFont="1" applyBorder="1"/>
    <xf numFmtId="164" fontId="41" fillId="0" borderId="0" xfId="5" applyNumberFormat="1" applyFont="1" applyBorder="1"/>
    <xf numFmtId="40" fontId="41" fillId="0" borderId="0" xfId="5" applyFont="1" applyBorder="1"/>
    <xf numFmtId="6" fontId="42" fillId="0" borderId="0" xfId="27" applyNumberFormat="1" applyFont="1" applyBorder="1"/>
    <xf numFmtId="38" fontId="41" fillId="0" borderId="0" xfId="5" applyNumberFormat="1" applyFont="1" applyBorder="1"/>
    <xf numFmtId="168" fontId="41" fillId="0" borderId="12" xfId="15" applyNumberFormat="1" applyFont="1" applyBorder="1"/>
    <xf numFmtId="8" fontId="41" fillId="0" borderId="0" xfId="15" applyFont="1" applyBorder="1"/>
    <xf numFmtId="173" fontId="41" fillId="0" borderId="0" xfId="15" applyNumberFormat="1" applyFont="1" applyBorder="1"/>
    <xf numFmtId="174" fontId="41" fillId="0" borderId="0" xfId="15" applyNumberFormat="1" applyFont="1" applyBorder="1"/>
    <xf numFmtId="38" fontId="41" fillId="0" borderId="1" xfId="5" applyNumberFormat="1" applyFont="1" applyFill="1" applyBorder="1"/>
    <xf numFmtId="173" fontId="41" fillId="0" borderId="12" xfId="15" applyNumberFormat="1" applyFont="1" applyBorder="1" applyAlignment="1">
      <alignment horizontal="center"/>
    </xf>
    <xf numFmtId="168" fontId="41" fillId="0" borderId="0" xfId="15" applyNumberFormat="1" applyFont="1" applyFill="1" applyBorder="1"/>
    <xf numFmtId="0" fontId="43" fillId="0" borderId="0" xfId="27" applyFont="1"/>
    <xf numFmtId="0" fontId="43" fillId="0" borderId="0" xfId="27" applyFont="1" applyAlignment="1">
      <alignment horizontal="centerContinuous"/>
    </xf>
    <xf numFmtId="0" fontId="5" fillId="0" borderId="0" xfId="27" applyFont="1"/>
    <xf numFmtId="0" fontId="45" fillId="0" borderId="0" xfId="27" applyFont="1"/>
    <xf numFmtId="0" fontId="14" fillId="0" borderId="0" xfId="27" applyFont="1"/>
    <xf numFmtId="0" fontId="45" fillId="0" borderId="0" xfId="27" applyFont="1" applyAlignment="1">
      <alignment horizontal="center"/>
    </xf>
    <xf numFmtId="0" fontId="45" fillId="0" borderId="1" xfId="27" applyFont="1" applyBorder="1" applyAlignment="1">
      <alignment horizontal="center"/>
    </xf>
    <xf numFmtId="17" fontId="45" fillId="0" borderId="0" xfId="27" applyNumberFormat="1" applyFont="1" applyAlignment="1">
      <alignment horizontal="center"/>
    </xf>
    <xf numFmtId="171" fontId="45" fillId="0" borderId="0" xfId="27" applyNumberFormat="1" applyFont="1" applyAlignment="1">
      <alignment horizontal="center"/>
    </xf>
    <xf numFmtId="2" fontId="45" fillId="0" borderId="0" xfId="27" applyNumberFormat="1" applyFont="1"/>
    <xf numFmtId="170" fontId="45" fillId="0" borderId="0" xfId="27" applyNumberFormat="1" applyFont="1"/>
    <xf numFmtId="38" fontId="5" fillId="0" borderId="0" xfId="5" applyNumberFormat="1" applyFont="1" applyBorder="1" applyAlignment="1">
      <alignment horizontal="right"/>
    </xf>
    <xf numFmtId="0" fontId="14" fillId="0" borderId="0" xfId="27" applyFont="1" applyAlignment="1"/>
    <xf numFmtId="10" fontId="14" fillId="0" borderId="0" xfId="27" applyNumberFormat="1" applyFont="1" applyBorder="1" applyAlignment="1"/>
    <xf numFmtId="10" fontId="14" fillId="0" borderId="12" xfId="43" applyNumberFormat="1" applyFont="1" applyBorder="1"/>
    <xf numFmtId="37" fontId="45" fillId="0" borderId="0" xfId="5" applyNumberFormat="1" applyFont="1" applyBorder="1" applyAlignment="1">
      <alignment horizontal="right"/>
    </xf>
    <xf numFmtId="175" fontId="45" fillId="0" borderId="0" xfId="5" applyNumberFormat="1" applyFont="1" applyAlignment="1">
      <alignment horizontal="center"/>
    </xf>
    <xf numFmtId="5" fontId="14" fillId="0" borderId="12" xfId="15" applyNumberFormat="1" applyFont="1" applyBorder="1" applyAlignment="1"/>
    <xf numFmtId="7" fontId="14" fillId="0" borderId="12" xfId="15" applyNumberFormat="1" applyFont="1" applyBorder="1"/>
    <xf numFmtId="10" fontId="14" fillId="0" borderId="12" xfId="43" applyNumberFormat="1" applyFont="1" applyFill="1" applyBorder="1"/>
    <xf numFmtId="172" fontId="47" fillId="0" borderId="13" xfId="0" applyNumberFormat="1" applyFont="1" applyBorder="1"/>
    <xf numFmtId="175" fontId="48" fillId="0" borderId="0" xfId="0" applyNumberFormat="1" applyFont="1" applyAlignment="1">
      <alignment horizontal="center"/>
    </xf>
    <xf numFmtId="0" fontId="0" fillId="0" borderId="1" xfId="0" applyBorder="1"/>
    <xf numFmtId="173" fontId="46" fillId="2" borderId="9" xfId="14" applyNumberFormat="1" applyFont="1" applyFill="1" applyBorder="1"/>
    <xf numFmtId="0" fontId="49" fillId="0" borderId="0" xfId="0" applyFont="1"/>
    <xf numFmtId="0" fontId="5" fillId="0" borderId="0" xfId="0" applyFont="1" applyAlignment="1">
      <alignment horizontal="center"/>
    </xf>
    <xf numFmtId="17" fontId="41" fillId="0" borderId="0" xfId="27" quotePrefix="1" applyNumberFormat="1" applyFont="1"/>
    <xf numFmtId="170" fontId="40" fillId="0" borderId="7" xfId="0" applyNumberFormat="1" applyFont="1" applyBorder="1"/>
    <xf numFmtId="0" fontId="25" fillId="0" borderId="0" xfId="0" applyFont="1" applyAlignment="1">
      <alignment horizontal="center"/>
    </xf>
    <xf numFmtId="0" fontId="5" fillId="0" borderId="0" xfId="0" applyFont="1" applyFill="1" applyAlignment="1">
      <alignment horizontal="left" wrapText="1"/>
    </xf>
    <xf numFmtId="170" fontId="0" fillId="0" borderId="0" xfId="0" applyNumberFormat="1"/>
    <xf numFmtId="0" fontId="0" fillId="0" borderId="0" xfId="0" quotePrefix="1"/>
    <xf numFmtId="0" fontId="0" fillId="0" borderId="0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Border="1"/>
    <xf numFmtId="10" fontId="5" fillId="0" borderId="14" xfId="39" applyNumberFormat="1" applyFont="1" applyBorder="1"/>
    <xf numFmtId="0" fontId="4" fillId="0" borderId="0" xfId="0" applyFont="1"/>
    <xf numFmtId="0" fontId="14" fillId="0" borderId="0" xfId="38" applyFont="1" applyFill="1" applyBorder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164" fontId="5" fillId="0" borderId="14" xfId="1" applyNumberFormat="1" applyFont="1" applyFill="1" applyBorder="1"/>
    <xf numFmtId="10" fontId="5" fillId="0" borderId="14" xfId="39" applyNumberFormat="1" applyFont="1" applyFill="1" applyBorder="1"/>
    <xf numFmtId="164" fontId="11" fillId="0" borderId="0" xfId="0" applyNumberFormat="1" applyFont="1" applyFill="1"/>
    <xf numFmtId="164" fontId="0" fillId="0" borderId="0" xfId="1" applyNumberFormat="1" applyFont="1"/>
    <xf numFmtId="0" fontId="4" fillId="0" borderId="0" xfId="0" applyFont="1" applyAlignment="1">
      <alignment horizontal="right"/>
    </xf>
    <xf numFmtId="164" fontId="0" fillId="0" borderId="9" xfId="1" applyNumberFormat="1" applyFont="1" applyBorder="1"/>
    <xf numFmtId="164" fontId="0" fillId="0" borderId="7" xfId="0" applyNumberFormat="1" applyBorder="1"/>
    <xf numFmtId="167" fontId="53" fillId="0" borderId="0" xfId="0" applyNumberFormat="1" applyFont="1" applyBorder="1"/>
    <xf numFmtId="169" fontId="21" fillId="0" borderId="0" xfId="0" applyNumberFormat="1" applyFont="1" applyBorder="1"/>
    <xf numFmtId="164" fontId="47" fillId="2" borderId="13" xfId="0" applyNumberFormat="1" applyFont="1" applyFill="1" applyBorder="1"/>
    <xf numFmtId="0" fontId="47" fillId="0" borderId="0" xfId="0" applyFont="1"/>
    <xf numFmtId="0" fontId="47" fillId="0" borderId="9" xfId="0" applyFont="1" applyBorder="1" applyAlignment="1">
      <alignment horizontal="center"/>
    </xf>
    <xf numFmtId="172" fontId="47" fillId="2" borderId="13" xfId="14" applyNumberFormat="1" applyFont="1" applyFill="1" applyBorder="1"/>
    <xf numFmtId="41" fontId="47" fillId="0" borderId="15" xfId="0" applyNumberFormat="1" applyFont="1" applyBorder="1"/>
    <xf numFmtId="172" fontId="47" fillId="0" borderId="16" xfId="14" applyNumberFormat="1" applyFont="1" applyBorder="1"/>
    <xf numFmtId="168" fontId="32" fillId="0" borderId="17" xfId="0" applyNumberFormat="1" applyFont="1" applyBorder="1"/>
    <xf numFmtId="38" fontId="47" fillId="0" borderId="16" xfId="0" applyNumberFormat="1" applyFont="1" applyBorder="1"/>
    <xf numFmtId="41" fontId="47" fillId="0" borderId="16" xfId="0" applyNumberFormat="1" applyFont="1" applyBorder="1"/>
    <xf numFmtId="0" fontId="47" fillId="0" borderId="16" xfId="0" applyFont="1" applyBorder="1"/>
    <xf numFmtId="168" fontId="32" fillId="0" borderId="16" xfId="0" applyNumberFormat="1" applyFont="1" applyBorder="1"/>
    <xf numFmtId="164" fontId="47" fillId="0" borderId="16" xfId="1" applyNumberFormat="1" applyFont="1" applyBorder="1"/>
    <xf numFmtId="168" fontId="47" fillId="0" borderId="16" xfId="0" applyNumberFormat="1" applyFont="1" applyBorder="1"/>
    <xf numFmtId="164" fontId="47" fillId="0" borderId="16" xfId="0" applyNumberFormat="1" applyFont="1" applyBorder="1"/>
    <xf numFmtId="17" fontId="12" fillId="0" borderId="18" xfId="0" applyNumberFormat="1" applyFont="1" applyBorder="1" applyAlignment="1">
      <alignment horizontal="center"/>
    </xf>
    <xf numFmtId="41" fontId="24" fillId="0" borderId="16" xfId="0" applyNumberFormat="1" applyFont="1" applyBorder="1"/>
    <xf numFmtId="168" fontId="47" fillId="0" borderId="15" xfId="0" applyNumberFormat="1" applyFont="1" applyBorder="1"/>
    <xf numFmtId="17" fontId="0" fillId="0" borderId="19" xfId="0" applyNumberFormat="1" applyBorder="1"/>
    <xf numFmtId="164" fontId="46" fillId="0" borderId="19" xfId="1" applyNumberFormat="1" applyFont="1" applyBorder="1"/>
    <xf numFmtId="170" fontId="0" fillId="0" borderId="19" xfId="0" applyNumberFormat="1" applyBorder="1"/>
    <xf numFmtId="0" fontId="38" fillId="0" borderId="0" xfId="0" applyFont="1" applyAlignment="1">
      <alignment horizontal="left"/>
    </xf>
    <xf numFmtId="172" fontId="12" fillId="0" borderId="0" xfId="14" applyNumberFormat="1" applyFont="1"/>
    <xf numFmtId="172" fontId="0" fillId="0" borderId="0" xfId="14" applyNumberFormat="1" applyFont="1"/>
    <xf numFmtId="168" fontId="0" fillId="0" borderId="0" xfId="14" applyNumberFormat="1" applyFont="1"/>
    <xf numFmtId="168" fontId="45" fillId="0" borderId="0" xfId="14" applyNumberFormat="1" applyFont="1" applyBorder="1" applyAlignment="1">
      <alignment horizontal="right"/>
    </xf>
    <xf numFmtId="0" fontId="0" fillId="0" borderId="0" xfId="0" applyFill="1"/>
    <xf numFmtId="0" fontId="5" fillId="0" borderId="0" xfId="0" applyFont="1" applyFill="1" applyAlignment="1"/>
    <xf numFmtId="164" fontId="0" fillId="0" borderId="0" xfId="0" applyNumberFormat="1" applyFill="1"/>
    <xf numFmtId="0" fontId="5" fillId="0" borderId="0" xfId="0" applyFont="1" applyAlignment="1"/>
    <xf numFmtId="164" fontId="0" fillId="3" borderId="13" xfId="0" applyNumberFormat="1" applyFill="1" applyBorder="1"/>
    <xf numFmtId="41" fontId="24" fillId="0" borderId="16" xfId="0" applyNumberFormat="1" applyFont="1" applyFill="1" applyBorder="1"/>
    <xf numFmtId="41" fontId="0" fillId="0" borderId="0" xfId="0" applyNumberFormat="1" applyFill="1"/>
    <xf numFmtId="175" fontId="45" fillId="0" borderId="0" xfId="5" applyNumberFormat="1" applyFont="1" applyFill="1" applyAlignment="1">
      <alignment horizontal="center"/>
    </xf>
    <xf numFmtId="171" fontId="45" fillId="0" borderId="0" xfId="27" applyNumberFormat="1" applyFont="1" applyFill="1" applyAlignment="1">
      <alignment horizontal="center"/>
    </xf>
    <xf numFmtId="0" fontId="56" fillId="0" borderId="0" xfId="27" applyFont="1" applyBorder="1" applyAlignment="1">
      <alignment horizontal="center"/>
    </xf>
    <xf numFmtId="0" fontId="45" fillId="0" borderId="0" xfId="27" applyFont="1" applyFill="1"/>
    <xf numFmtId="40" fontId="45" fillId="0" borderId="0" xfId="5" applyFont="1" applyFill="1"/>
    <xf numFmtId="40" fontId="45" fillId="0" borderId="0" xfId="5" applyFont="1"/>
    <xf numFmtId="40" fontId="45" fillId="0" borderId="14" xfId="5" applyFont="1" applyBorder="1"/>
    <xf numFmtId="40" fontId="45" fillId="0" borderId="20" xfId="5" applyFont="1" applyBorder="1"/>
    <xf numFmtId="177" fontId="45" fillId="0" borderId="0" xfId="14" applyNumberFormat="1" applyFont="1" applyAlignment="1">
      <alignment horizontal="center"/>
    </xf>
    <xf numFmtId="177" fontId="45" fillId="0" borderId="0" xfId="14" applyNumberFormat="1" applyFont="1" applyFill="1" applyAlignment="1">
      <alignment horizontal="center"/>
    </xf>
    <xf numFmtId="177" fontId="48" fillId="0" borderId="0" xfId="14" applyNumberFormat="1" applyFont="1" applyAlignment="1">
      <alignment horizontal="center"/>
    </xf>
    <xf numFmtId="0" fontId="45" fillId="0" borderId="0" xfId="27" applyFont="1" applyBorder="1" applyAlignment="1">
      <alignment horizontal="center"/>
    </xf>
    <xf numFmtId="164" fontId="1" fillId="0" borderId="9" xfId="1" applyNumberFormat="1" applyFont="1" applyBorder="1"/>
    <xf numFmtId="0" fontId="0" fillId="0" borderId="0" xfId="0" applyAlignment="1">
      <alignment horizontal="centerContinuous"/>
    </xf>
    <xf numFmtId="0" fontId="0" fillId="0" borderId="1" xfId="0" applyFill="1" applyBorder="1" applyAlignment="1">
      <alignment horizontal="center"/>
    </xf>
    <xf numFmtId="164" fontId="0" fillId="0" borderId="0" xfId="1" applyNumberFormat="1" applyFont="1" applyFill="1"/>
    <xf numFmtId="10" fontId="0" fillId="0" borderId="0" xfId="39" applyNumberFormat="1" applyFont="1" applyFill="1"/>
    <xf numFmtId="2" fontId="0" fillId="0" borderId="0" xfId="0" applyNumberFormat="1"/>
    <xf numFmtId="43" fontId="0" fillId="0" borderId="0" xfId="0" applyNumberFormat="1" applyFill="1"/>
    <xf numFmtId="170" fontId="5" fillId="4" borderId="0" xfId="0" applyNumberFormat="1" applyFont="1" applyFill="1" applyBorder="1"/>
    <xf numFmtId="164" fontId="0" fillId="0" borderId="0" xfId="1" applyNumberFormat="1" applyFont="1" applyFill="1" applyBorder="1"/>
    <xf numFmtId="10" fontId="0" fillId="0" borderId="0" xfId="39" applyNumberFormat="1" applyFont="1" applyFill="1" applyBorder="1"/>
    <xf numFmtId="0" fontId="0" fillId="0" borderId="0" xfId="0" applyBorder="1"/>
    <xf numFmtId="2" fontId="0" fillId="0" borderId="0" xfId="0" applyNumberFormat="1" applyBorder="1"/>
    <xf numFmtId="43" fontId="0" fillId="0" borderId="0" xfId="0" applyNumberFormat="1" applyFill="1" applyBorder="1"/>
    <xf numFmtId="43" fontId="0" fillId="0" borderId="0" xfId="0" applyNumberFormat="1" applyBorder="1"/>
    <xf numFmtId="0" fontId="0" fillId="0" borderId="0" xfId="0" applyFill="1" applyBorder="1"/>
    <xf numFmtId="164" fontId="0" fillId="0" borderId="1" xfId="1" applyNumberFormat="1" applyFont="1" applyBorder="1"/>
    <xf numFmtId="2" fontId="0" fillId="0" borderId="14" xfId="0" applyNumberFormat="1" applyBorder="1"/>
    <xf numFmtId="43" fontId="0" fillId="0" borderId="14" xfId="0" applyNumberFormat="1" applyBorder="1"/>
    <xf numFmtId="164" fontId="0" fillId="0" borderId="14" xfId="0" applyNumberFormat="1" applyFill="1" applyBorder="1"/>
    <xf numFmtId="164" fontId="0" fillId="0" borderId="14" xfId="0" applyNumberFormat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14" xfId="0" applyNumberFormat="1" applyFill="1" applyBorder="1"/>
    <xf numFmtId="1" fontId="0" fillId="0" borderId="0" xfId="0" applyNumberFormat="1" applyFill="1"/>
    <xf numFmtId="43" fontId="0" fillId="0" borderId="14" xfId="1" applyFont="1" applyBorder="1"/>
    <xf numFmtId="43" fontId="0" fillId="0" borderId="0" xfId="1" applyFont="1"/>
    <xf numFmtId="164" fontId="0" fillId="0" borderId="0" xfId="1" applyNumberFormat="1" applyFont="1" applyBorder="1"/>
    <xf numFmtId="164" fontId="0" fillId="0" borderId="14" xfId="1" applyNumberFormat="1" applyFont="1" applyBorder="1"/>
    <xf numFmtId="0" fontId="5" fillId="0" borderId="0" xfId="0" quotePrefix="1" applyFont="1" applyFill="1" applyAlignment="1"/>
    <xf numFmtId="164" fontId="5" fillId="5" borderId="0" xfId="1" applyNumberFormat="1" applyFont="1" applyFill="1"/>
    <xf numFmtId="164" fontId="0" fillId="0" borderId="0" xfId="1" applyNumberFormat="1" applyFont="1" applyAlignment="1">
      <alignment horizontal="right"/>
    </xf>
    <xf numFmtId="164" fontId="5" fillId="5" borderId="0" xfId="1" applyNumberFormat="1" applyFont="1" applyFill="1" applyBorder="1"/>
    <xf numFmtId="164" fontId="0" fillId="0" borderId="14" xfId="1" applyNumberFormat="1" applyFont="1" applyFill="1" applyBorder="1"/>
    <xf numFmtId="1" fontId="0" fillId="5" borderId="0" xfId="0" applyNumberFormat="1" applyFill="1"/>
    <xf numFmtId="2" fontId="0" fillId="0" borderId="0" xfId="0" applyNumberFormat="1" applyFill="1" applyBorder="1"/>
    <xf numFmtId="1" fontId="0" fillId="5" borderId="0" xfId="0" applyNumberFormat="1" applyFill="1" applyBorder="1"/>
    <xf numFmtId="1" fontId="0" fillId="0" borderId="0" xfId="0" applyNumberFormat="1" applyFill="1" applyBorder="1"/>
    <xf numFmtId="164" fontId="12" fillId="0" borderId="18" xfId="1" applyNumberFormat="1" applyFont="1" applyBorder="1"/>
    <xf numFmtId="173" fontId="46" fillId="0" borderId="18" xfId="14" applyNumberFormat="1" applyFont="1" applyBorder="1"/>
    <xf numFmtId="17" fontId="0" fillId="0" borderId="9" xfId="0" applyNumberFormat="1" applyFill="1" applyBorder="1"/>
    <xf numFmtId="164" fontId="46" fillId="0" borderId="9" xfId="1" applyNumberFormat="1" applyFont="1" applyFill="1" applyBorder="1"/>
    <xf numFmtId="170" fontId="0" fillId="0" borderId="9" xfId="0" applyNumberFormat="1" applyFill="1" applyBorder="1"/>
    <xf numFmtId="0" fontId="19" fillId="0" borderId="0" xfId="0" applyFont="1" applyBorder="1"/>
    <xf numFmtId="168" fontId="19" fillId="0" borderId="0" xfId="14" applyNumberFormat="1" applyFont="1" applyBorder="1"/>
    <xf numFmtId="168" fontId="19" fillId="0" borderId="0" xfId="0" applyNumberFormat="1" applyFont="1" applyBorder="1"/>
    <xf numFmtId="0" fontId="18" fillId="0" borderId="9" xfId="0" applyFont="1" applyBorder="1"/>
    <xf numFmtId="41" fontId="18" fillId="0" borderId="9" xfId="0" applyNumberFormat="1" applyFont="1" applyBorder="1"/>
    <xf numFmtId="168" fontId="18" fillId="0" borderId="9" xfId="0" applyNumberFormat="1" applyFont="1" applyBorder="1"/>
    <xf numFmtId="41" fontId="19" fillId="0" borderId="9" xfId="0" applyNumberFormat="1" applyFont="1" applyBorder="1"/>
    <xf numFmtId="0" fontId="19" fillId="0" borderId="21" xfId="0" applyFont="1" applyBorder="1"/>
    <xf numFmtId="168" fontId="19" fillId="0" borderId="21" xfId="14" applyNumberFormat="1" applyFont="1" applyBorder="1"/>
    <xf numFmtId="168" fontId="19" fillId="0" borderId="22" xfId="0" applyNumberFormat="1" applyFont="1" applyBorder="1"/>
    <xf numFmtId="41" fontId="19" fillId="0" borderId="15" xfId="0" applyNumberFormat="1" applyFont="1" applyBorder="1"/>
    <xf numFmtId="172" fontId="54" fillId="4" borderId="13" xfId="14" applyNumberFormat="1" applyFont="1" applyFill="1" applyBorder="1"/>
    <xf numFmtId="173" fontId="46" fillId="6" borderId="23" xfId="14" applyNumberFormat="1" applyFont="1" applyFill="1" applyBorder="1"/>
    <xf numFmtId="173" fontId="46" fillId="6" borderId="24" xfId="14" applyNumberFormat="1" applyFont="1" applyFill="1" applyBorder="1"/>
    <xf numFmtId="173" fontId="46" fillId="6" borderId="25" xfId="14" applyNumberFormat="1" applyFont="1" applyFill="1" applyBorder="1"/>
    <xf numFmtId="172" fontId="0" fillId="0" borderId="0" xfId="0" applyNumberFormat="1"/>
    <xf numFmtId="0" fontId="59" fillId="0" borderId="0" xfId="27" applyFont="1" applyFill="1" applyAlignment="1">
      <alignment horizontal="left"/>
    </xf>
    <xf numFmtId="0" fontId="60" fillId="0" borderId="0" xfId="0" applyFont="1"/>
    <xf numFmtId="0" fontId="12" fillId="4" borderId="23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164" fontId="0" fillId="4" borderId="23" xfId="1" applyNumberFormat="1" applyFont="1" applyFill="1" applyBorder="1"/>
    <xf numFmtId="164" fontId="0" fillId="4" borderId="24" xfId="1" applyNumberFormat="1" applyFont="1" applyFill="1" applyBorder="1"/>
    <xf numFmtId="164" fontId="0" fillId="4" borderId="25" xfId="1" applyNumberFormat="1" applyFont="1" applyFill="1" applyBorder="1"/>
    <xf numFmtId="0" fontId="12" fillId="3" borderId="23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164" fontId="0" fillId="3" borderId="23" xfId="1" applyNumberFormat="1" applyFont="1" applyFill="1" applyBorder="1"/>
    <xf numFmtId="164" fontId="0" fillId="3" borderId="24" xfId="1" applyNumberFormat="1" applyFont="1" applyFill="1" applyBorder="1"/>
    <xf numFmtId="164" fontId="0" fillId="3" borderId="25" xfId="1" applyNumberFormat="1" applyFont="1" applyFill="1" applyBorder="1"/>
    <xf numFmtId="10" fontId="0" fillId="3" borderId="26" xfId="0" applyNumberFormat="1" applyFill="1" applyBorder="1"/>
    <xf numFmtId="10" fontId="0" fillId="4" borderId="13" xfId="0" applyNumberFormat="1" applyFill="1" applyBorder="1"/>
    <xf numFmtId="0" fontId="0" fillId="4" borderId="24" xfId="0" applyFill="1" applyBorder="1"/>
    <xf numFmtId="0" fontId="0" fillId="4" borderId="25" xfId="0" applyFill="1" applyBorder="1"/>
    <xf numFmtId="0" fontId="0" fillId="3" borderId="24" xfId="0" applyFill="1" applyBorder="1"/>
    <xf numFmtId="0" fontId="0" fillId="3" borderId="25" xfId="0" applyFill="1" applyBorder="1"/>
    <xf numFmtId="10" fontId="16" fillId="0" borderId="0" xfId="0" applyNumberFormat="1" applyFont="1" applyFill="1"/>
    <xf numFmtId="0" fontId="12" fillId="4" borderId="1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164" fontId="0" fillId="4" borderId="23" xfId="0" applyNumberFormat="1" applyFill="1" applyBorder="1"/>
    <xf numFmtId="164" fontId="0" fillId="3" borderId="23" xfId="0" applyNumberFormat="1" applyFill="1" applyBorder="1"/>
    <xf numFmtId="0" fontId="12" fillId="4" borderId="24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164" fontId="0" fillId="4" borderId="24" xfId="0" applyNumberFormat="1" applyFill="1" applyBorder="1"/>
    <xf numFmtId="164" fontId="0" fillId="4" borderId="25" xfId="0" applyNumberFormat="1" applyFill="1" applyBorder="1"/>
    <xf numFmtId="164" fontId="0" fillId="3" borderId="24" xfId="0" applyNumberFormat="1" applyFill="1" applyBorder="1"/>
    <xf numFmtId="164" fontId="0" fillId="3" borderId="25" xfId="0" applyNumberFormat="1" applyFill="1" applyBorder="1"/>
    <xf numFmtId="0" fontId="12" fillId="0" borderId="0" xfId="0" applyFont="1" applyAlignment="1">
      <alignment horizontal="right"/>
    </xf>
    <xf numFmtId="41" fontId="47" fillId="0" borderId="16" xfId="0" applyNumberFormat="1" applyFont="1" applyFill="1" applyBorder="1"/>
    <xf numFmtId="164" fontId="47" fillId="0" borderId="16" xfId="0" applyNumberFormat="1" applyFont="1" applyFill="1" applyBorder="1"/>
    <xf numFmtId="164" fontId="12" fillId="2" borderId="13" xfId="0" applyNumberFormat="1" applyFont="1" applyFill="1" applyBorder="1"/>
    <xf numFmtId="169" fontId="47" fillId="0" borderId="16" xfId="0" applyNumberFormat="1" applyFont="1" applyBorder="1"/>
    <xf numFmtId="172" fontId="46" fillId="0" borderId="0" xfId="14" applyNumberFormat="1" applyFont="1" applyBorder="1"/>
    <xf numFmtId="169" fontId="0" fillId="0" borderId="0" xfId="0" applyNumberFormat="1"/>
    <xf numFmtId="164" fontId="12" fillId="0" borderId="9" xfId="0" applyNumberFormat="1" applyFont="1" applyBorder="1"/>
    <xf numFmtId="164" fontId="12" fillId="0" borderId="15" xfId="0" applyNumberFormat="1" applyFont="1" applyBorder="1"/>
    <xf numFmtId="15" fontId="1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8" fontId="0" fillId="0" borderId="9" xfId="0" applyNumberFormat="1" applyBorder="1"/>
    <xf numFmtId="164" fontId="0" fillId="6" borderId="9" xfId="1" applyNumberFormat="1" applyFont="1" applyFill="1" applyBorder="1"/>
    <xf numFmtId="172" fontId="0" fillId="6" borderId="9" xfId="14" applyNumberFormat="1" applyFont="1" applyFill="1" applyBorder="1"/>
    <xf numFmtId="172" fontId="55" fillId="2" borderId="13" xfId="14" applyNumberFormat="1" applyFont="1" applyFill="1" applyBorder="1"/>
    <xf numFmtId="0" fontId="1" fillId="0" borderId="0" xfId="0" applyFont="1" applyAlignment="1">
      <alignment horizontal="center"/>
    </xf>
    <xf numFmtId="10" fontId="1" fillId="0" borderId="9" xfId="39" applyNumberFormat="1" applyFont="1" applyBorder="1"/>
    <xf numFmtId="164" fontId="1" fillId="0" borderId="0" xfId="1" applyNumberFormat="1" applyFont="1"/>
    <xf numFmtId="0" fontId="12" fillId="0" borderId="6" xfId="0" applyFont="1" applyBorder="1"/>
    <xf numFmtId="0" fontId="2" fillId="0" borderId="3" xfId="0" applyFont="1" applyBorder="1"/>
    <xf numFmtId="0" fontId="12" fillId="0" borderId="27" xfId="0" applyFont="1" applyBorder="1"/>
    <xf numFmtId="0" fontId="0" fillId="0" borderId="3" xfId="0" applyBorder="1"/>
    <xf numFmtId="41" fontId="0" fillId="0" borderId="0" xfId="0" applyNumberFormat="1" applyBorder="1"/>
    <xf numFmtId="0" fontId="0" fillId="7" borderId="0" xfId="0" applyFill="1" applyBorder="1"/>
    <xf numFmtId="0" fontId="32" fillId="0" borderId="6" xfId="0" applyFont="1" applyBorder="1"/>
    <xf numFmtId="0" fontId="0" fillId="0" borderId="3" xfId="0" applyFill="1" applyBorder="1"/>
    <xf numFmtId="38" fontId="0" fillId="0" borderId="0" xfId="0" applyNumberFormat="1" applyBorder="1"/>
    <xf numFmtId="164" fontId="46" fillId="0" borderId="0" xfId="1" applyNumberFormat="1" applyFont="1" applyBorder="1"/>
    <xf numFmtId="0" fontId="32" fillId="0" borderId="3" xfId="0" applyFont="1" applyFill="1" applyBorder="1"/>
    <xf numFmtId="168" fontId="32" fillId="0" borderId="0" xfId="14" applyNumberFormat="1" applyFont="1" applyBorder="1"/>
    <xf numFmtId="44" fontId="46" fillId="0" borderId="0" xfId="14" applyFont="1" applyBorder="1"/>
    <xf numFmtId="168" fontId="0" fillId="0" borderId="0" xfId="0" applyNumberFormat="1" applyBorder="1"/>
    <xf numFmtId="3" fontId="0" fillId="0" borderId="0" xfId="0" applyNumberFormat="1" applyBorder="1"/>
    <xf numFmtId="0" fontId="12" fillId="0" borderId="3" xfId="0" applyFont="1" applyFill="1" applyBorder="1"/>
    <xf numFmtId="164" fontId="12" fillId="0" borderId="0" xfId="0" applyNumberFormat="1" applyFont="1" applyBorder="1"/>
    <xf numFmtId="0" fontId="25" fillId="0" borderId="3" xfId="0" applyFont="1" applyFill="1" applyBorder="1"/>
    <xf numFmtId="164" fontId="0" fillId="0" borderId="0" xfId="0" applyNumberFormat="1" applyFill="1" applyBorder="1"/>
    <xf numFmtId="0" fontId="32" fillId="0" borderId="6" xfId="0" applyFont="1" applyFill="1" applyBorder="1"/>
    <xf numFmtId="0" fontId="12" fillId="0" borderId="3" xfId="0" applyFont="1" applyFill="1" applyBorder="1" applyAlignment="1">
      <alignment horizontal="right"/>
    </xf>
    <xf numFmtId="168" fontId="12" fillId="0" borderId="0" xfId="0" applyNumberFormat="1" applyFont="1" applyBorder="1"/>
    <xf numFmtId="0" fontId="12" fillId="0" borderId="27" xfId="0" applyFont="1" applyFill="1" applyBorder="1" applyAlignment="1">
      <alignment horizontal="right"/>
    </xf>
    <xf numFmtId="0" fontId="12" fillId="0" borderId="3" xfId="0" applyFont="1" applyBorder="1"/>
    <xf numFmtId="0" fontId="0" fillId="0" borderId="3" xfId="0" applyBorder="1" applyAlignment="1">
      <alignment horizontal="right"/>
    </xf>
    <xf numFmtId="0" fontId="0" fillId="0" borderId="3" xfId="0" applyFill="1" applyBorder="1" applyAlignment="1">
      <alignment horizontal="right"/>
    </xf>
    <xf numFmtId="41" fontId="46" fillId="0" borderId="0" xfId="14" applyNumberFormat="1" applyFont="1" applyBorder="1"/>
    <xf numFmtId="41" fontId="16" fillId="0" borderId="0" xfId="0" applyNumberFormat="1" applyFont="1" applyFill="1" applyBorder="1"/>
    <xf numFmtId="41" fontId="16" fillId="0" borderId="0" xfId="0" applyNumberFormat="1" applyFont="1" applyBorder="1"/>
    <xf numFmtId="0" fontId="32" fillId="0" borderId="6" xfId="0" applyFont="1" applyBorder="1" applyAlignment="1">
      <alignment horizontal="right"/>
    </xf>
    <xf numFmtId="0" fontId="47" fillId="0" borderId="0" xfId="0" applyFont="1" applyBorder="1"/>
    <xf numFmtId="168" fontId="64" fillId="8" borderId="0" xfId="19" applyNumberFormat="1" applyFont="1" applyFill="1"/>
    <xf numFmtId="164" fontId="64" fillId="8" borderId="0" xfId="1" applyNumberFormat="1" applyFont="1" applyFill="1"/>
    <xf numFmtId="176" fontId="0" fillId="0" borderId="0" xfId="1" applyNumberFormat="1" applyFont="1" applyBorder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0" xfId="0" applyFont="1" applyAlignment="1">
      <alignment horizontal="center"/>
    </xf>
    <xf numFmtId="0" fontId="22" fillId="9" borderId="9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quotePrefix="1" applyFont="1" applyAlignment="1">
      <alignment horizontal="left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0" xfId="27" applyBorder="1" applyAlignment="1">
      <alignment horizontal="center"/>
    </xf>
    <xf numFmtId="0" fontId="44" fillId="0" borderId="0" xfId="27" applyFont="1" applyAlignment="1">
      <alignment horizontal="center"/>
    </xf>
    <xf numFmtId="0" fontId="39" fillId="0" borderId="0" xfId="0" quotePrefix="1" applyFont="1" applyAlignment="1">
      <alignment horizontal="left"/>
    </xf>
    <xf numFmtId="0" fontId="3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0" fillId="0" borderId="19" xfId="0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49" fillId="0" borderId="0" xfId="0" quotePrefix="1" applyFont="1" applyAlignment="1">
      <alignment horizontal="left"/>
    </xf>
    <xf numFmtId="0" fontId="12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23" fillId="10" borderId="35" xfId="0" applyFont="1" applyFill="1" applyBorder="1" applyAlignment="1">
      <alignment horizontal="center"/>
    </xf>
    <xf numFmtId="0" fontId="29" fillId="0" borderId="18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18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16" fillId="4" borderId="28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16" fillId="4" borderId="30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vertical="center" wrapText="1"/>
    </xf>
    <xf numFmtId="0" fontId="19" fillId="0" borderId="36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44">
    <cellStyle name="Comma" xfId="1" builtinId="3"/>
    <cellStyle name="Comma 14" xfId="2"/>
    <cellStyle name="Comma 2" xfId="3"/>
    <cellStyle name="Comma 2 2" xfId="4"/>
    <cellStyle name="Comma 3" xfId="5"/>
    <cellStyle name="Comma 3 2" xfId="6"/>
    <cellStyle name="Comma 3 3" xfId="7"/>
    <cellStyle name="Comma 4" xfId="8"/>
    <cellStyle name="Comma 4 2" xfId="9"/>
    <cellStyle name="Comma 4 3" xfId="10"/>
    <cellStyle name="Comma 5" xfId="11"/>
    <cellStyle name="Comma 6" xfId="12"/>
    <cellStyle name="Comma 7" xfId="13"/>
    <cellStyle name="Currency" xfId="14" builtinId="4"/>
    <cellStyle name="Currency 2" xfId="15"/>
    <cellStyle name="Currency 2 2" xfId="16"/>
    <cellStyle name="Currency 3" xfId="17"/>
    <cellStyle name="Currency 4" xfId="18"/>
    <cellStyle name="Currency 5" xfId="19"/>
    <cellStyle name="Normal" xfId="0" builtinId="0"/>
    <cellStyle name="Normal 2" xfId="20"/>
    <cellStyle name="Normal 2 2" xfId="21"/>
    <cellStyle name="Normal 2 2 2" xfId="22"/>
    <cellStyle name="Normal 2 3" xfId="23"/>
    <cellStyle name="Normal 2_Northern" xfId="24"/>
    <cellStyle name="Normal 3" xfId="25"/>
    <cellStyle name="Normal 3 2" xfId="26"/>
    <cellStyle name="Normal 4" xfId="27"/>
    <cellStyle name="Normal 4 2" xfId="28"/>
    <cellStyle name="Normal 5" xfId="29"/>
    <cellStyle name="Normal 5 2" xfId="30"/>
    <cellStyle name="Normal 5_Northern" xfId="31"/>
    <cellStyle name="Normal 6" xfId="32"/>
    <cellStyle name="Normal 6 2" xfId="33"/>
    <cellStyle name="Normal 6 3" xfId="34"/>
    <cellStyle name="Normal 7" xfId="35"/>
    <cellStyle name="Normal 8" xfId="36"/>
    <cellStyle name="Normal 9" xfId="37"/>
    <cellStyle name="Normal_historical volumes  customer counts" xfId="38"/>
    <cellStyle name="Percent" xfId="39" builtinId="5"/>
    <cellStyle name="Percent 2" xfId="40"/>
    <cellStyle name="Percent 2 2" xfId="41"/>
    <cellStyle name="Percent 3" xfId="42"/>
    <cellStyle name="Percent 4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t.KTMINC/AppData/Local/Microsoft/Windows/Temporary%20Internet%20Files/Content.Outlook/5OA7M73V/Branson-Rogersville%20Retail%20Demand%202014%20(updated%20Btu%20Factors%2010.07.1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narrative"/>
      <sheetName val="HDD &amp; Dth-HDD Chart (GS-Res)"/>
      <sheetName val="HDD &amp; Dth-HDD Chart (GS-Com)"/>
      <sheetName val="Dth-Cust &amp; Dth-HDD Chart (Res)"/>
      <sheetName val="Dth-Cust &amp; Dth-HDD Chart (Com)"/>
      <sheetName val="Base-excess Branson"/>
      <sheetName val="annual customer usage - Branson"/>
      <sheetName val="monthly usage Branson-HDD%"/>
      <sheetName val="alt annual cust usage-Branson"/>
      <sheetName val="alt monthly usage Branson-HDD%"/>
      <sheetName val="Base-excess  - Rogersville"/>
      <sheetName val="annual customer usage-Rogersvil"/>
      <sheetName val="monthly usage Rogersvi-HDD% "/>
      <sheetName val="Springfield HDD Actual"/>
      <sheetName val="Springfield 30-yr HDD"/>
      <sheetName val="Customer Counts"/>
      <sheetName val="Consumption Report 2012"/>
      <sheetName val="BLO042 Dec 2011"/>
      <sheetName val="BLO042 Nov 2011"/>
      <sheetName val="BLO042 Oct 2011"/>
      <sheetName val="BLO042 Sep 2011"/>
      <sheetName val="BLO042 Aug 2011"/>
      <sheetName val="BLO042 Jul 2011"/>
      <sheetName val="BLO042 Jun 2011"/>
      <sheetName val="BLO042 May 2011"/>
      <sheetName val="BLO042 Apr 2011"/>
      <sheetName val="BLO042 Mar 2011"/>
      <sheetName val=" BLO042 Feb 2011"/>
      <sheetName val="BLO042 Jan 2011"/>
      <sheetName val="budget comparis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>
        <row r="11">
          <cell r="I11">
            <v>39.548143663763582</v>
          </cell>
        </row>
        <row r="12">
          <cell r="I12">
            <v>30.220715518408291</v>
          </cell>
        </row>
        <row r="13">
          <cell r="I13">
            <v>126.27077609035778</v>
          </cell>
        </row>
        <row r="14">
          <cell r="I14">
            <v>63.99507323615876</v>
          </cell>
        </row>
        <row r="15">
          <cell r="I15">
            <v>289.25655253022973</v>
          </cell>
        </row>
        <row r="27">
          <cell r="K27">
            <v>0.77652205614290915</v>
          </cell>
        </row>
        <row r="28">
          <cell r="K28">
            <v>0.39060288706481744</v>
          </cell>
        </row>
        <row r="29">
          <cell r="K29">
            <v>18.264771460423635</v>
          </cell>
        </row>
        <row r="30">
          <cell r="K30">
            <v>1.5321756894790604</v>
          </cell>
        </row>
        <row r="31">
          <cell r="K31">
            <v>83.323749281196086</v>
          </cell>
        </row>
      </sheetData>
      <sheetData sheetId="8"/>
      <sheetData sheetId="9"/>
      <sheetData sheetId="10"/>
      <sheetData sheetId="11"/>
      <sheetData sheetId="12">
        <row r="12">
          <cell r="I12">
            <v>52.366626386380233</v>
          </cell>
        </row>
        <row r="13">
          <cell r="I13">
            <v>44.061554076260279</v>
          </cell>
        </row>
        <row r="14">
          <cell r="I14">
            <v>176.3762260491045</v>
          </cell>
        </row>
        <row r="15">
          <cell r="I15">
            <v>67.675015617061419</v>
          </cell>
        </row>
        <row r="16">
          <cell r="I16">
            <v>1072.7553067407218</v>
          </cell>
        </row>
        <row r="17">
          <cell r="I17">
            <v>11998.457992354526</v>
          </cell>
        </row>
        <row r="27">
          <cell r="K27">
            <v>0.98998484506497275</v>
          </cell>
        </row>
        <row r="28">
          <cell r="K28">
            <v>0.72373824451410662</v>
          </cell>
        </row>
        <row r="29">
          <cell r="K29">
            <v>4.1992638036809824</v>
          </cell>
        </row>
        <row r="30">
          <cell r="K30">
            <v>1.3563886900501074</v>
          </cell>
        </row>
        <row r="31">
          <cell r="K31">
            <v>35.29661016949153</v>
          </cell>
        </row>
        <row r="32">
          <cell r="K32">
            <v>768.71428571428567</v>
          </cell>
        </row>
      </sheetData>
      <sheetData sheetId="13"/>
      <sheetData sheetId="14"/>
      <sheetData sheetId="15">
        <row r="26">
          <cell r="C26">
            <v>1002.7500000000002</v>
          </cell>
          <cell r="D26">
            <v>780</v>
          </cell>
          <cell r="E26">
            <v>581.33000000000004</v>
          </cell>
          <cell r="F26">
            <v>299.73</v>
          </cell>
          <cell r="G26">
            <v>94.539999999999978</v>
          </cell>
          <cell r="H26">
            <v>9.1899999999999977</v>
          </cell>
          <cell r="I26">
            <v>0.46000000000000019</v>
          </cell>
          <cell r="J26">
            <v>1.6199999999999999</v>
          </cell>
          <cell r="K26">
            <v>53.36</v>
          </cell>
          <cell r="L26">
            <v>252.62999999999997</v>
          </cell>
          <cell r="M26">
            <v>570.6</v>
          </cell>
          <cell r="N26">
            <v>931.3900000000001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826"/>
  <sheetViews>
    <sheetView view="pageLayout" topLeftCell="F10" zoomScaleNormal="100" workbookViewId="0">
      <selection activeCell="T14" sqref="T14"/>
    </sheetView>
  </sheetViews>
  <sheetFormatPr defaultColWidth="9.140625" defaultRowHeight="15"/>
  <cols>
    <col min="2" max="2" width="11.7109375" customWidth="1"/>
    <col min="3" max="3" width="11.28515625" customWidth="1"/>
    <col min="4" max="4" width="9.28515625" customWidth="1"/>
    <col min="6" max="6" width="1.28515625" customWidth="1"/>
    <col min="7" max="7" width="9.7109375" customWidth="1"/>
    <col min="8" max="8" width="11.28515625" customWidth="1"/>
    <col min="9" max="9" width="10.5703125" customWidth="1"/>
    <col min="10" max="10" width="2.28515625" customWidth="1"/>
    <col min="11" max="11" width="9.42578125" bestFit="1" customWidth="1"/>
    <col min="12" max="12" width="1.42578125" customWidth="1"/>
    <col min="13" max="13" width="10.42578125" bestFit="1" customWidth="1"/>
    <col min="15" max="15" width="10.85546875" customWidth="1"/>
    <col min="16" max="16" width="2.7109375" customWidth="1"/>
    <col min="17" max="17" width="12.42578125" customWidth="1"/>
    <col min="18" max="18" width="10" bestFit="1" customWidth="1"/>
  </cols>
  <sheetData>
    <row r="1" spans="1:22" ht="18">
      <c r="A1" s="134" t="s">
        <v>143</v>
      </c>
      <c r="B1" s="3"/>
      <c r="C1" s="3"/>
      <c r="D1" s="3"/>
      <c r="E1" s="3"/>
      <c r="F1" s="191"/>
      <c r="G1" s="191"/>
      <c r="H1" s="191"/>
      <c r="I1" s="191"/>
      <c r="J1" s="191"/>
      <c r="K1" s="191"/>
      <c r="L1" s="191"/>
      <c r="M1" s="191"/>
    </row>
    <row r="2" spans="1:22" ht="15.75">
      <c r="A2" s="3" t="s">
        <v>152</v>
      </c>
      <c r="B2" s="3"/>
      <c r="C2" s="3"/>
      <c r="D2" s="3"/>
      <c r="E2" s="3"/>
      <c r="F2" s="191"/>
      <c r="G2" s="191"/>
      <c r="H2" s="191"/>
      <c r="I2" s="191"/>
      <c r="J2" s="191"/>
      <c r="K2" s="191"/>
      <c r="L2" s="191"/>
      <c r="M2" s="191"/>
    </row>
    <row r="3" spans="1:22" ht="15.75">
      <c r="A3" s="3" t="s">
        <v>144</v>
      </c>
      <c r="B3" s="3"/>
      <c r="C3" s="3"/>
      <c r="D3" s="3"/>
      <c r="E3" s="3"/>
      <c r="F3" s="191"/>
      <c r="G3" s="191"/>
      <c r="H3" s="191"/>
      <c r="I3" s="191"/>
      <c r="J3" s="191"/>
      <c r="K3" s="191"/>
      <c r="L3" s="191"/>
      <c r="M3" s="191"/>
    </row>
    <row r="4" spans="1:22" ht="15.75">
      <c r="A4" s="3" t="s">
        <v>171</v>
      </c>
      <c r="B4" s="3"/>
      <c r="C4" s="3"/>
      <c r="D4" s="3"/>
      <c r="E4" s="3"/>
      <c r="F4" s="191"/>
      <c r="G4" s="191"/>
      <c r="H4" s="191"/>
      <c r="I4" s="191"/>
      <c r="J4" s="191"/>
      <c r="K4" s="191"/>
      <c r="L4" s="191"/>
      <c r="M4" s="191"/>
    </row>
    <row r="5" spans="1:22" ht="15.75">
      <c r="A5" s="3"/>
      <c r="B5" s="3"/>
      <c r="C5" s="3"/>
      <c r="D5" s="3"/>
      <c r="E5" s="3"/>
      <c r="F5" s="191"/>
      <c r="G5" s="191"/>
      <c r="H5" s="191"/>
      <c r="I5" s="191"/>
      <c r="J5" s="191"/>
      <c r="K5" s="191"/>
      <c r="L5" s="191"/>
      <c r="M5" s="191"/>
    </row>
    <row r="6" spans="1:22" ht="15.75">
      <c r="A6" s="3"/>
      <c r="B6" s="3"/>
      <c r="C6" s="3"/>
      <c r="D6" s="135" t="s">
        <v>30</v>
      </c>
      <c r="E6" s="136"/>
      <c r="F6" s="191"/>
      <c r="G6" s="5" t="s">
        <v>1</v>
      </c>
    </row>
    <row r="7" spans="1:22" ht="15.75" thickBot="1">
      <c r="D7" s="334" t="s">
        <v>2</v>
      </c>
      <c r="E7" s="334"/>
      <c r="G7" s="5" t="s">
        <v>3</v>
      </c>
      <c r="H7" s="5" t="s">
        <v>4</v>
      </c>
      <c r="I7" s="5" t="s">
        <v>0</v>
      </c>
      <c r="O7" s="5" t="s">
        <v>4</v>
      </c>
      <c r="Q7" s="120" t="s">
        <v>153</v>
      </c>
    </row>
    <row r="8" spans="1:22">
      <c r="D8" s="5" t="s">
        <v>5</v>
      </c>
      <c r="E8" s="5" t="s">
        <v>6</v>
      </c>
      <c r="G8" s="5" t="s">
        <v>7</v>
      </c>
      <c r="H8" s="5" t="s">
        <v>8</v>
      </c>
      <c r="I8" s="5" t="s">
        <v>4</v>
      </c>
      <c r="K8" s="5" t="s">
        <v>9</v>
      </c>
      <c r="M8" s="127" t="s">
        <v>4</v>
      </c>
      <c r="N8" s="5" t="s">
        <v>4</v>
      </c>
      <c r="O8" s="5" t="s">
        <v>13</v>
      </c>
      <c r="Q8" s="120" t="s">
        <v>145</v>
      </c>
    </row>
    <row r="9" spans="1:22" ht="15.75" thickBot="1">
      <c r="D9" s="6" t="s">
        <v>10</v>
      </c>
      <c r="E9" s="6" t="s">
        <v>11</v>
      </c>
      <c r="G9" s="192" t="s">
        <v>9</v>
      </c>
      <c r="H9" s="192" t="s">
        <v>12</v>
      </c>
      <c r="I9" s="192" t="s">
        <v>12</v>
      </c>
      <c r="K9" s="128" t="s">
        <v>147</v>
      </c>
      <c r="M9" s="6" t="s">
        <v>13</v>
      </c>
      <c r="N9" s="6" t="s">
        <v>172</v>
      </c>
      <c r="O9" s="6" t="s">
        <v>161</v>
      </c>
      <c r="Q9" s="129" t="s">
        <v>173</v>
      </c>
    </row>
    <row r="10" spans="1:22" ht="15.75">
      <c r="A10" s="7" t="s">
        <v>14</v>
      </c>
    </row>
    <row r="11" spans="1:22" ht="15.75">
      <c r="B11" s="8"/>
    </row>
    <row r="12" spans="1:22" ht="15.75">
      <c r="B12" s="8" t="s">
        <v>15</v>
      </c>
      <c r="C12">
        <v>2014</v>
      </c>
      <c r="D12" s="193">
        <f>'[1]Springfield 30-yr HDD'!N26</f>
        <v>931.3900000000001</v>
      </c>
      <c r="E12" s="194">
        <f t="shared" ref="E12:E22" si="0">+D12/$D$24</f>
        <v>0.20346688220901782</v>
      </c>
      <c r="G12" s="195">
        <f t="shared" ref="G12:G22" si="1">+E12*$G$24</f>
        <v>10.65487420264127</v>
      </c>
      <c r="H12" s="196">
        <f>+H23</f>
        <v>0.98998484506497275</v>
      </c>
      <c r="I12" s="11">
        <f t="shared" ref="I12:I22" si="2">+G12+H12</f>
        <v>11.644859047706243</v>
      </c>
      <c r="K12" s="1">
        <v>5291.1730559938651</v>
      </c>
      <c r="L12" s="171"/>
      <c r="M12" s="1">
        <f t="shared" ref="M12:M21" si="3">+K12*I12</f>
        <v>61614.964434069647</v>
      </c>
      <c r="N12" s="197">
        <v>1.0244448203198229</v>
      </c>
      <c r="O12" s="140">
        <f>+M12/N12</f>
        <v>60144.737141463593</v>
      </c>
      <c r="Q12" s="173">
        <f>SUM(O12,O33,O55,O78,O100,O122)</f>
        <v>191297.83558617512</v>
      </c>
    </row>
    <row r="13" spans="1:22" ht="15.75">
      <c r="B13" s="8" t="s">
        <v>16</v>
      </c>
      <c r="C13">
        <v>2015</v>
      </c>
      <c r="D13" s="193">
        <f>'[1]Springfield 30-yr HDD'!C26</f>
        <v>1002.7500000000002</v>
      </c>
      <c r="E13" s="194">
        <f t="shared" si="0"/>
        <v>0.21905583711988819</v>
      </c>
      <c r="G13" s="195">
        <f t="shared" si="1"/>
        <v>11.471215180212948</v>
      </c>
      <c r="H13" s="196">
        <f t="shared" ref="H13:H22" si="4">+H12</f>
        <v>0.98998484506497275</v>
      </c>
      <c r="I13" s="11">
        <f t="shared" si="2"/>
        <v>12.46120002527792</v>
      </c>
      <c r="K13" s="1">
        <v>5353.3173967731145</v>
      </c>
      <c r="L13" s="171"/>
      <c r="M13" s="1">
        <f t="shared" si="3"/>
        <v>66708.758879989866</v>
      </c>
      <c r="N13" s="197">
        <v>1.0256012456649444</v>
      </c>
      <c r="O13" s="140">
        <f t="shared" ref="O13:O23" si="5">+M13/N13</f>
        <v>65043.562653572553</v>
      </c>
      <c r="Q13" s="173">
        <f t="shared" ref="Q13:Q23" si="6">SUM(O13,O34,O56,O79,O101,O123)</f>
        <v>206539.0386585861</v>
      </c>
    </row>
    <row r="14" spans="1:22" ht="15.75">
      <c r="B14" s="8" t="s">
        <v>17</v>
      </c>
      <c r="C14">
        <v>2015</v>
      </c>
      <c r="D14" s="193">
        <f>'[1]Springfield 30-yr HDD'!D26</f>
        <v>780</v>
      </c>
      <c r="E14" s="194">
        <f t="shared" si="0"/>
        <v>0.17039496679482696</v>
      </c>
      <c r="G14" s="195">
        <f t="shared" si="1"/>
        <v>8.923009564264369</v>
      </c>
      <c r="H14" s="196">
        <f t="shared" si="4"/>
        <v>0.98998484506497275</v>
      </c>
      <c r="I14" s="11">
        <f t="shared" si="2"/>
        <v>9.9129944093293414</v>
      </c>
      <c r="K14" s="1">
        <v>5397.6562975409233</v>
      </c>
      <c r="L14" s="171"/>
      <c r="M14" s="1">
        <f t="shared" si="3"/>
        <v>53506.936701004488</v>
      </c>
      <c r="N14" s="197">
        <v>1.0231174827853895</v>
      </c>
      <c r="O14" s="140">
        <f t="shared" si="5"/>
        <v>52297.939973945468</v>
      </c>
      <c r="Q14" s="173">
        <f t="shared" si="6"/>
        <v>167217.53752264191</v>
      </c>
      <c r="T14" s="8"/>
      <c r="V14" s="193"/>
    </row>
    <row r="15" spans="1:22" ht="15.75">
      <c r="B15" s="8" t="s">
        <v>18</v>
      </c>
      <c r="C15">
        <v>2015</v>
      </c>
      <c r="D15" s="193">
        <f>'[1]Springfield 30-yr HDD'!E26</f>
        <v>581.33000000000004</v>
      </c>
      <c r="E15" s="194">
        <f t="shared" si="0"/>
        <v>0.12699449493184201</v>
      </c>
      <c r="G15" s="195">
        <f t="shared" si="1"/>
        <v>6.6502732692228284</v>
      </c>
      <c r="H15" s="196">
        <f t="shared" si="4"/>
        <v>0.98998484506497275</v>
      </c>
      <c r="I15" s="11">
        <f t="shared" si="2"/>
        <v>7.6402581142878008</v>
      </c>
      <c r="K15" s="1">
        <v>5410.7556271458934</v>
      </c>
      <c r="L15" s="171"/>
      <c r="M15" s="1">
        <f t="shared" si="3"/>
        <v>41339.56958472979</v>
      </c>
      <c r="N15" s="197">
        <v>1.0205247514095761</v>
      </c>
      <c r="O15" s="140">
        <f t="shared" si="5"/>
        <v>40508.149878413504</v>
      </c>
      <c r="Q15" s="173">
        <f t="shared" si="6"/>
        <v>130777.94888889523</v>
      </c>
      <c r="T15" s="8"/>
      <c r="V15" s="193"/>
    </row>
    <row r="16" spans="1:22" ht="15.75">
      <c r="B16" s="8" t="s">
        <v>19</v>
      </c>
      <c r="C16">
        <v>2015</v>
      </c>
      <c r="D16" s="193">
        <f>'[1]Springfield 30-yr HDD'!F26</f>
        <v>299.73</v>
      </c>
      <c r="E16" s="194">
        <f t="shared" si="0"/>
        <v>6.5477542817196782E-2</v>
      </c>
      <c r="G16" s="195">
        <f t="shared" si="1"/>
        <v>3.4288380214063583</v>
      </c>
      <c r="H16" s="196">
        <f t="shared" si="4"/>
        <v>0.98998484506497275</v>
      </c>
      <c r="I16" s="11">
        <f t="shared" si="2"/>
        <v>4.4188228664713307</v>
      </c>
      <c r="K16" s="1">
        <v>5468.5789554119574</v>
      </c>
      <c r="L16" s="171"/>
      <c r="M16" s="1">
        <f>+K16*I16</f>
        <v>24164.68173527826</v>
      </c>
      <c r="N16" s="197">
        <v>1.0207034031040865</v>
      </c>
      <c r="O16" s="140">
        <f t="shared" si="5"/>
        <v>23674.538227060326</v>
      </c>
      <c r="Q16" s="173">
        <f t="shared" si="6"/>
        <v>77996.501174535384</v>
      </c>
      <c r="T16" s="8"/>
      <c r="V16" s="193"/>
    </row>
    <row r="17" spans="1:22" ht="15.75">
      <c r="B17" s="8" t="s">
        <v>20</v>
      </c>
      <c r="C17">
        <v>2015</v>
      </c>
      <c r="D17" s="193">
        <f>'[1]Springfield 30-yr HDD'!G26</f>
        <v>94.539999999999978</v>
      </c>
      <c r="E17" s="194">
        <f t="shared" si="0"/>
        <v>2.0652743795875561E-2</v>
      </c>
      <c r="G17" s="195">
        <f t="shared" si="1"/>
        <v>1.0815145182122479</v>
      </c>
      <c r="H17" s="196">
        <f t="shared" si="4"/>
        <v>0.98998484506497275</v>
      </c>
      <c r="I17" s="11">
        <f t="shared" si="2"/>
        <v>2.0714993632772205</v>
      </c>
      <c r="K17" s="1">
        <v>5433.7790265219674</v>
      </c>
      <c r="L17" s="171"/>
      <c r="M17" s="1">
        <f t="shared" si="3"/>
        <v>11256.069793629371</v>
      </c>
      <c r="N17" s="197">
        <v>1.0216183124324427</v>
      </c>
      <c r="O17" s="140">
        <f t="shared" si="5"/>
        <v>11017.881782902858</v>
      </c>
      <c r="Q17" s="173">
        <f t="shared" si="6"/>
        <v>39114.569672433725</v>
      </c>
      <c r="T17" s="8"/>
      <c r="V17" s="193"/>
    </row>
    <row r="18" spans="1:22" ht="15.75">
      <c r="B18" s="8" t="s">
        <v>21</v>
      </c>
      <c r="C18">
        <v>2015</v>
      </c>
      <c r="D18" s="193">
        <f>'[1]Springfield 30-yr HDD'!H26</f>
        <v>9.1899999999999977</v>
      </c>
      <c r="E18" s="194">
        <f t="shared" si="0"/>
        <v>2.0076022369800764E-3</v>
      </c>
      <c r="G18" s="195">
        <f t="shared" si="1"/>
        <v>0.10513135627639686</v>
      </c>
      <c r="H18" s="196">
        <f t="shared" si="4"/>
        <v>0.98998484506497275</v>
      </c>
      <c r="I18" s="11">
        <f t="shared" si="2"/>
        <v>1.0951162013413696</v>
      </c>
      <c r="K18" s="1">
        <v>5361.8807803837817</v>
      </c>
      <c r="L18" s="171"/>
      <c r="M18" s="1">
        <f t="shared" si="3"/>
        <v>5871.8825122591852</v>
      </c>
      <c r="N18" s="197">
        <v>1.0223371761777924</v>
      </c>
      <c r="O18" s="140">
        <f t="shared" si="5"/>
        <v>5743.5869976012873</v>
      </c>
      <c r="Q18" s="173">
        <f t="shared" si="6"/>
        <v>22934.241491432269</v>
      </c>
      <c r="T18" s="8"/>
      <c r="V18" s="193"/>
    </row>
    <row r="19" spans="1:22" ht="15.75">
      <c r="B19" s="8" t="s">
        <v>22</v>
      </c>
      <c r="C19">
        <v>2015</v>
      </c>
      <c r="D19" s="193">
        <f>'[1]Springfield 30-yr HDD'!I26</f>
        <v>0.46000000000000019</v>
      </c>
      <c r="E19" s="194">
        <f t="shared" si="0"/>
        <v>1.0048933939182108E-4</v>
      </c>
      <c r="G19" s="195">
        <f t="shared" si="1"/>
        <v>5.2622876917456565E-3</v>
      </c>
      <c r="H19" s="196">
        <f t="shared" si="4"/>
        <v>0.98998484506497275</v>
      </c>
      <c r="I19" s="11">
        <f t="shared" si="2"/>
        <v>0.99524713275671839</v>
      </c>
      <c r="K19" s="1">
        <v>5300.0007027927422</v>
      </c>
      <c r="L19" s="171"/>
      <c r="M19" s="1">
        <f t="shared" si="3"/>
        <v>5274.8105030630695</v>
      </c>
      <c r="N19" s="197">
        <v>1.0164747684600897</v>
      </c>
      <c r="O19" s="140">
        <f t="shared" si="5"/>
        <v>5189.317695562826</v>
      </c>
      <c r="Q19" s="173">
        <f t="shared" si="6"/>
        <v>21228.262751010559</v>
      </c>
      <c r="T19" s="8"/>
      <c r="V19" s="193"/>
    </row>
    <row r="20" spans="1:22" ht="15.75">
      <c r="B20" s="8" t="s">
        <v>23</v>
      </c>
      <c r="C20">
        <v>2015</v>
      </c>
      <c r="D20" s="193">
        <f>'[1]Springfield 30-yr HDD'!J26</f>
        <v>1.6199999999999999</v>
      </c>
      <c r="E20" s="194">
        <f t="shared" si="0"/>
        <v>3.5389723872771754E-4</v>
      </c>
      <c r="G20" s="195">
        <f t="shared" si="1"/>
        <v>1.8532404479625997E-2</v>
      </c>
      <c r="H20" s="196">
        <f t="shared" si="4"/>
        <v>0.98998484506497275</v>
      </c>
      <c r="I20" s="11">
        <f t="shared" si="2"/>
        <v>1.0085172495445986</v>
      </c>
      <c r="K20" s="1">
        <v>5287.0483412814638</v>
      </c>
      <c r="L20" s="171"/>
      <c r="M20" s="1">
        <f t="shared" si="3"/>
        <v>5332.0794513585142</v>
      </c>
      <c r="N20" s="197">
        <v>1.0155902692022722</v>
      </c>
      <c r="O20" s="140">
        <f t="shared" si="5"/>
        <v>5250.2269990699751</v>
      </c>
      <c r="Q20" s="173">
        <f t="shared" si="6"/>
        <v>21364.484877473267</v>
      </c>
      <c r="T20" s="8"/>
      <c r="V20" s="193"/>
    </row>
    <row r="21" spans="1:22" ht="15.75">
      <c r="B21" s="8" t="s">
        <v>24</v>
      </c>
      <c r="C21">
        <v>2015</v>
      </c>
      <c r="D21" s="193">
        <f>'[1]Springfield 30-yr HDD'!K26</f>
        <v>53.36</v>
      </c>
      <c r="E21" s="194">
        <f t="shared" si="0"/>
        <v>1.1656763369451239E-2</v>
      </c>
      <c r="G21" s="195">
        <f t="shared" si="1"/>
        <v>0.61042537224249582</v>
      </c>
      <c r="H21" s="196">
        <f t="shared" si="4"/>
        <v>0.98998484506497275</v>
      </c>
      <c r="I21" s="11">
        <f t="shared" si="2"/>
        <v>1.6004102173074686</v>
      </c>
      <c r="K21" s="1">
        <v>5041</v>
      </c>
      <c r="L21" s="171"/>
      <c r="M21" s="1">
        <f t="shared" si="3"/>
        <v>8067.6679054469487</v>
      </c>
      <c r="N21" s="197">
        <v>1.0149825566907551</v>
      </c>
      <c r="O21" s="140">
        <f t="shared" si="5"/>
        <v>7948.5778866493429</v>
      </c>
      <c r="Q21" s="173">
        <f t="shared" si="6"/>
        <v>30157.938060144719</v>
      </c>
      <c r="T21" s="8"/>
      <c r="V21" s="198"/>
    </row>
    <row r="22" spans="1:22" ht="15.75">
      <c r="B22" s="8" t="s">
        <v>25</v>
      </c>
      <c r="C22">
        <v>2015</v>
      </c>
      <c r="D22" s="198">
        <f>'[1]Springfield 30-yr HDD'!L26</f>
        <v>252.62999999999997</v>
      </c>
      <c r="E22" s="199">
        <f t="shared" si="0"/>
        <v>5.5188308283816837E-2</v>
      </c>
      <c r="F22" s="200"/>
      <c r="G22" s="201">
        <f t="shared" si="1"/>
        <v>2.8900255207950094</v>
      </c>
      <c r="H22" s="202">
        <f t="shared" si="4"/>
        <v>0.98998484506497275</v>
      </c>
      <c r="I22" s="203">
        <f t="shared" si="2"/>
        <v>3.8800103658599823</v>
      </c>
      <c r="J22" s="200"/>
      <c r="K22" s="2">
        <v>5062.7053841048364</v>
      </c>
      <c r="L22" s="204"/>
      <c r="M22" s="2">
        <f>+K22*I22</f>
        <v>19643.349369621908</v>
      </c>
      <c r="N22" s="197">
        <v>1.0218211251856673</v>
      </c>
      <c r="O22" s="140">
        <f t="shared" si="5"/>
        <v>19223.863047510069</v>
      </c>
      <c r="Q22" s="173">
        <f t="shared" si="6"/>
        <v>65141.791308953587</v>
      </c>
      <c r="T22" s="8"/>
      <c r="V22" s="193"/>
    </row>
    <row r="23" spans="1:22" ht="16.5" thickBot="1">
      <c r="B23" s="8" t="s">
        <v>26</v>
      </c>
      <c r="C23">
        <v>2015</v>
      </c>
      <c r="D23" s="193">
        <f>'[1]Springfield 30-yr HDD'!M26</f>
        <v>570.6</v>
      </c>
      <c r="E23" s="194">
        <f>+D23/$D$24</f>
        <v>0.12465047186298496</v>
      </c>
      <c r="G23" s="195">
        <f>+E23*$G$24</f>
        <v>6.5275246889349354</v>
      </c>
      <c r="H23" s="196">
        <f>+'[1]annual customer usage-Rogersvil'!K27</f>
        <v>0.98998484506497275</v>
      </c>
      <c r="I23" s="11">
        <f>+G23+H23</f>
        <v>7.5175095339999078</v>
      </c>
      <c r="K23" s="1">
        <v>5157.436062817158</v>
      </c>
      <c r="L23" s="171"/>
      <c r="M23" s="1">
        <f>+K23*I23</f>
        <v>38771.074773222936</v>
      </c>
      <c r="N23" s="197">
        <v>1.0192837328860593</v>
      </c>
      <c r="O23" s="205">
        <f t="shared" si="5"/>
        <v>38037.568463340678</v>
      </c>
      <c r="Q23" s="173">
        <f t="shared" si="6"/>
        <v>123290.38304616197</v>
      </c>
      <c r="T23" s="8"/>
      <c r="V23" s="193"/>
    </row>
    <row r="24" spans="1:22" ht="16.5" thickBot="1">
      <c r="D24" s="137">
        <f>SUM(D12:D23)</f>
        <v>4577.6000000000004</v>
      </c>
      <c r="E24" s="138">
        <f>SUM(E12:E23)</f>
        <v>0.99999999999999978</v>
      </c>
      <c r="G24" s="206">
        <f>+'[1]annual customer usage-Rogersvil'!I12</f>
        <v>52.366626386380233</v>
      </c>
      <c r="H24" s="207">
        <f>SUM(H12:H23)</f>
        <v>11.879818140779671</v>
      </c>
      <c r="I24" s="207">
        <f>SUM(I12:I23)</f>
        <v>64.246444527159895</v>
      </c>
      <c r="K24" s="139">
        <f>AVERAGE(K12:K23)</f>
        <v>5297.1109692306418</v>
      </c>
      <c r="L24" s="171"/>
      <c r="M24" s="208">
        <f>SUM(M12:M23)</f>
        <v>341551.84564367402</v>
      </c>
      <c r="O24" s="209">
        <f>SUM(O12:O23)</f>
        <v>334079.95074709255</v>
      </c>
      <c r="Q24" s="208">
        <f>SUM(Q12:Q23)</f>
        <v>1097060.5330384439</v>
      </c>
      <c r="T24" s="8"/>
      <c r="V24" s="193"/>
    </row>
    <row r="25" spans="1:22" ht="16.5" thickTop="1">
      <c r="D25" s="171"/>
      <c r="E25" s="171"/>
      <c r="G25" s="195">
        <f>SUM(G12:G23)</f>
        <v>52.366626386380219</v>
      </c>
      <c r="K25" s="210" t="s">
        <v>27</v>
      </c>
      <c r="L25" s="171"/>
      <c r="M25" s="171"/>
      <c r="T25" s="8"/>
      <c r="V25" s="193"/>
    </row>
    <row r="26" spans="1:22">
      <c r="D26" s="171"/>
      <c r="E26" s="171"/>
      <c r="G26" s="195"/>
      <c r="K26" s="210"/>
      <c r="L26" s="171"/>
      <c r="M26" s="171"/>
      <c r="R26" s="9">
        <f>+Q24+'Monthly Usage - Branson'!Q23</f>
        <v>1342604.5138174796</v>
      </c>
    </row>
    <row r="27" spans="1:22" ht="15.75">
      <c r="A27" s="3"/>
      <c r="B27" s="3"/>
      <c r="C27" s="3"/>
      <c r="D27" s="135" t="s">
        <v>30</v>
      </c>
      <c r="E27" s="136"/>
      <c r="F27" s="191"/>
      <c r="G27" s="5" t="s">
        <v>1</v>
      </c>
      <c r="K27" s="171"/>
      <c r="L27" s="171"/>
      <c r="M27" s="171"/>
    </row>
    <row r="28" spans="1:22" ht="15.75" thickBot="1">
      <c r="D28" s="334" t="s">
        <v>2</v>
      </c>
      <c r="E28" s="334"/>
      <c r="G28" s="5" t="s">
        <v>3</v>
      </c>
      <c r="H28" s="5" t="s">
        <v>4</v>
      </c>
      <c r="I28" s="5" t="s">
        <v>0</v>
      </c>
      <c r="K28" s="171"/>
      <c r="L28" s="171"/>
      <c r="M28" s="171"/>
      <c r="O28" s="5" t="s">
        <v>4</v>
      </c>
    </row>
    <row r="29" spans="1:22">
      <c r="D29" s="5" t="s">
        <v>5</v>
      </c>
      <c r="E29" s="5" t="s">
        <v>6</v>
      </c>
      <c r="G29" s="5" t="s">
        <v>7</v>
      </c>
      <c r="H29" s="5" t="s">
        <v>8</v>
      </c>
      <c r="I29" s="5" t="s">
        <v>4</v>
      </c>
      <c r="K29" s="210" t="s">
        <v>9</v>
      </c>
      <c r="L29" s="171"/>
      <c r="M29" s="211" t="s">
        <v>4</v>
      </c>
      <c r="N29" s="5" t="s">
        <v>4</v>
      </c>
      <c r="O29" s="5" t="s">
        <v>13</v>
      </c>
    </row>
    <row r="30" spans="1:22" ht="15.75" thickBot="1">
      <c r="D30" s="6" t="s">
        <v>10</v>
      </c>
      <c r="E30" s="6" t="s">
        <v>11</v>
      </c>
      <c r="G30" s="192" t="s">
        <v>9</v>
      </c>
      <c r="H30" s="192" t="s">
        <v>12</v>
      </c>
      <c r="I30" s="192" t="s">
        <v>12</v>
      </c>
      <c r="K30" s="128" t="s">
        <v>154</v>
      </c>
      <c r="L30" s="171"/>
      <c r="M30" s="192" t="s">
        <v>13</v>
      </c>
      <c r="N30" s="6" t="s">
        <v>172</v>
      </c>
      <c r="O30" s="6" t="s">
        <v>161</v>
      </c>
    </row>
    <row r="31" spans="1:22" ht="15.75">
      <c r="A31" s="7" t="s">
        <v>146</v>
      </c>
      <c r="K31" s="171"/>
      <c r="L31" s="171"/>
      <c r="M31" s="171"/>
    </row>
    <row r="32" spans="1:22">
      <c r="K32" s="171"/>
      <c r="L32" s="171"/>
      <c r="M32" s="171"/>
    </row>
    <row r="33" spans="2:15" ht="15.75">
      <c r="B33" s="8" t="str">
        <f t="shared" ref="B33:D44" si="7">B12</f>
        <v>December</v>
      </c>
      <c r="C33">
        <f t="shared" si="7"/>
        <v>2014</v>
      </c>
      <c r="D33" s="193">
        <f t="shared" si="7"/>
        <v>931.3900000000001</v>
      </c>
      <c r="E33" s="194">
        <f t="shared" ref="E33:E43" si="8">+D33/$D$24</f>
        <v>0.20346688220901782</v>
      </c>
      <c r="G33" s="195">
        <f t="shared" ref="G33:G43" si="9">+E33*$G$45</f>
        <v>8.9650670331807198</v>
      </c>
      <c r="H33" s="196">
        <f>+H44</f>
        <v>0.72373824451410662</v>
      </c>
      <c r="I33" s="11">
        <f t="shared" ref="I33:I43" si="10">+G33+H33</f>
        <v>9.6888052776948257</v>
      </c>
      <c r="K33" s="1">
        <v>4311.907629829705</v>
      </c>
      <c r="L33" s="171"/>
      <c r="M33" s="1">
        <f t="shared" ref="M33:M43" si="11">+K33*I33</f>
        <v>41777.233400826633</v>
      </c>
      <c r="N33" s="197">
        <v>1.0244448203198229</v>
      </c>
      <c r="O33" s="140">
        <f>+M33/N33</f>
        <v>40780.364712844312</v>
      </c>
    </row>
    <row r="34" spans="2:15" ht="15.75">
      <c r="B34" s="8" t="str">
        <f t="shared" si="7"/>
        <v>January</v>
      </c>
      <c r="C34">
        <f t="shared" si="7"/>
        <v>2015</v>
      </c>
      <c r="D34" s="193">
        <f t="shared" si="7"/>
        <v>1002.7500000000002</v>
      </c>
      <c r="E34" s="194">
        <f t="shared" si="8"/>
        <v>0.21905583711988819</v>
      </c>
      <c r="G34" s="195">
        <f t="shared" si="9"/>
        <v>9.6519406129784162</v>
      </c>
      <c r="H34" s="196">
        <f t="shared" ref="H34:H43" si="12">+H33</f>
        <v>0.72373824451410662</v>
      </c>
      <c r="I34" s="11">
        <f t="shared" si="10"/>
        <v>10.375678857492522</v>
      </c>
      <c r="K34" s="1">
        <v>4406.6506505576835</v>
      </c>
      <c r="L34" s="171"/>
      <c r="M34" s="1">
        <f t="shared" si="11"/>
        <v>45721.991987347028</v>
      </c>
      <c r="N34" s="197">
        <v>1.0256012456649444</v>
      </c>
      <c r="O34" s="140">
        <f t="shared" ref="O34:O44" si="13">+M34/N34</f>
        <v>44580.671270249251</v>
      </c>
    </row>
    <row r="35" spans="2:15" ht="15.75">
      <c r="B35" s="8" t="str">
        <f t="shared" si="7"/>
        <v>February</v>
      </c>
      <c r="C35">
        <f t="shared" si="7"/>
        <v>2015</v>
      </c>
      <c r="D35" s="193">
        <f t="shared" si="7"/>
        <v>780</v>
      </c>
      <c r="E35" s="194">
        <f t="shared" si="8"/>
        <v>0.17039496679482696</v>
      </c>
      <c r="G35" s="195">
        <f t="shared" si="9"/>
        <v>7.5078670437528432</v>
      </c>
      <c r="H35" s="196">
        <f t="shared" si="12"/>
        <v>0.72373824451410662</v>
      </c>
      <c r="I35" s="11">
        <f t="shared" si="10"/>
        <v>8.2316052882669499</v>
      </c>
      <c r="K35" s="1">
        <v>4471.9689562912608</v>
      </c>
      <c r="L35" s="171"/>
      <c r="M35" s="1">
        <f t="shared" si="11"/>
        <v>36811.483309572774</v>
      </c>
      <c r="N35" s="197">
        <v>1.0231174827853895</v>
      </c>
      <c r="O35" s="140">
        <f t="shared" si="13"/>
        <v>35979.722689671209</v>
      </c>
    </row>
    <row r="36" spans="2:15" ht="15.75">
      <c r="B36" s="8" t="str">
        <f t="shared" si="7"/>
        <v>March</v>
      </c>
      <c r="C36">
        <f t="shared" si="7"/>
        <v>2015</v>
      </c>
      <c r="D36" s="193">
        <f t="shared" si="7"/>
        <v>581.33000000000004</v>
      </c>
      <c r="E36" s="194">
        <f t="shared" si="8"/>
        <v>0.12699449493184201</v>
      </c>
      <c r="G36" s="195">
        <f t="shared" si="9"/>
        <v>5.5955748058267183</v>
      </c>
      <c r="H36" s="196">
        <f t="shared" si="12"/>
        <v>0.72373824451410662</v>
      </c>
      <c r="I36" s="11">
        <f t="shared" si="10"/>
        <v>6.319313050340825</v>
      </c>
      <c r="K36" s="1">
        <v>4490.0958008770895</v>
      </c>
      <c r="L36" s="171"/>
      <c r="M36" s="1">
        <f t="shared" si="11"/>
        <v>28374.320991763128</v>
      </c>
      <c r="N36" s="197">
        <v>1.0205247514095761</v>
      </c>
      <c r="O36" s="140">
        <f t="shared" si="13"/>
        <v>27803.657826595343</v>
      </c>
    </row>
    <row r="37" spans="2:15" ht="15.75">
      <c r="B37" s="8" t="str">
        <f t="shared" si="7"/>
        <v>April</v>
      </c>
      <c r="C37">
        <f t="shared" si="7"/>
        <v>2015</v>
      </c>
      <c r="D37" s="193">
        <f t="shared" si="7"/>
        <v>299.73</v>
      </c>
      <c r="E37" s="194">
        <f t="shared" si="8"/>
        <v>6.5477542817196782E-2</v>
      </c>
      <c r="G37" s="195">
        <f t="shared" si="9"/>
        <v>2.8850422936205637</v>
      </c>
      <c r="H37" s="196">
        <f t="shared" si="12"/>
        <v>0.72373824451410662</v>
      </c>
      <c r="I37" s="11">
        <f t="shared" si="10"/>
        <v>3.6087805381346705</v>
      </c>
      <c r="K37" s="1">
        <v>4455.6021297975558</v>
      </c>
      <c r="L37" s="171"/>
      <c r="M37" s="1">
        <f t="shared" si="11"/>
        <v>16079.290251684808</v>
      </c>
      <c r="N37" s="197">
        <v>1.0207034031040865</v>
      </c>
      <c r="O37" s="140">
        <f t="shared" si="13"/>
        <v>15753.146509344124</v>
      </c>
    </row>
    <row r="38" spans="2:15" ht="15.75">
      <c r="B38" s="8" t="str">
        <f t="shared" si="7"/>
        <v>May</v>
      </c>
      <c r="C38">
        <f t="shared" si="7"/>
        <v>2015</v>
      </c>
      <c r="D38" s="193">
        <f t="shared" si="7"/>
        <v>94.539999999999978</v>
      </c>
      <c r="E38" s="194">
        <f t="shared" si="8"/>
        <v>2.0652743795875561E-2</v>
      </c>
      <c r="G38" s="195">
        <f t="shared" si="9"/>
        <v>0.90999198758512001</v>
      </c>
      <c r="H38" s="196">
        <f t="shared" si="12"/>
        <v>0.72373824451410662</v>
      </c>
      <c r="I38" s="11">
        <f t="shared" si="10"/>
        <v>1.6337302320992266</v>
      </c>
      <c r="K38" s="1">
        <v>4364.2238037649313</v>
      </c>
      <c r="L38" s="171"/>
      <c r="M38" s="1">
        <f t="shared" si="11"/>
        <v>7129.9643678578504</v>
      </c>
      <c r="N38" s="197">
        <v>1.0216183124324427</v>
      </c>
      <c r="O38" s="140">
        <f t="shared" si="13"/>
        <v>6979.0882574154512</v>
      </c>
    </row>
    <row r="39" spans="2:15" ht="15.75">
      <c r="B39" s="8" t="str">
        <f t="shared" si="7"/>
        <v>June</v>
      </c>
      <c r="C39">
        <f t="shared" si="7"/>
        <v>2015</v>
      </c>
      <c r="D39" s="193">
        <f t="shared" si="7"/>
        <v>9.1899999999999977</v>
      </c>
      <c r="E39" s="194">
        <f t="shared" si="8"/>
        <v>2.0076022369800764E-3</v>
      </c>
      <c r="G39" s="195">
        <f t="shared" si="9"/>
        <v>8.8458074528318748E-2</v>
      </c>
      <c r="H39" s="196">
        <f t="shared" si="12"/>
        <v>0.72373824451410662</v>
      </c>
      <c r="I39" s="11">
        <f t="shared" si="10"/>
        <v>0.8121963190424254</v>
      </c>
      <c r="K39" s="1">
        <v>4253.0729426997377</v>
      </c>
      <c r="L39" s="171"/>
      <c r="M39" s="1">
        <f t="shared" si="11"/>
        <v>3454.330188679663</v>
      </c>
      <c r="N39" s="197">
        <v>1.0223371761777924</v>
      </c>
      <c r="O39" s="140">
        <f t="shared" si="13"/>
        <v>3378.856085028965</v>
      </c>
    </row>
    <row r="40" spans="2:15" ht="15.75">
      <c r="B40" s="8" t="str">
        <f t="shared" si="7"/>
        <v>July</v>
      </c>
      <c r="C40">
        <f t="shared" si="7"/>
        <v>2015</v>
      </c>
      <c r="D40" s="193">
        <f t="shared" si="7"/>
        <v>0.46000000000000019</v>
      </c>
      <c r="E40" s="194">
        <f t="shared" si="8"/>
        <v>1.0048933939182108E-4</v>
      </c>
      <c r="G40" s="195">
        <f t="shared" si="9"/>
        <v>4.4277164617003966E-3</v>
      </c>
      <c r="H40" s="196">
        <f t="shared" si="12"/>
        <v>0.72373824451410662</v>
      </c>
      <c r="I40" s="11">
        <f t="shared" si="10"/>
        <v>0.72816596097580699</v>
      </c>
      <c r="K40" s="1">
        <v>4147.4491075839451</v>
      </c>
      <c r="L40" s="171"/>
      <c r="M40" s="1">
        <f t="shared" si="11"/>
        <v>3020.0312650221167</v>
      </c>
      <c r="N40" s="197">
        <v>1.0164747684600897</v>
      </c>
      <c r="O40" s="140">
        <f t="shared" si="13"/>
        <v>2971.0833546781673</v>
      </c>
    </row>
    <row r="41" spans="2:15" ht="15.75">
      <c r="B41" s="8" t="str">
        <f t="shared" si="7"/>
        <v>August</v>
      </c>
      <c r="C41">
        <f t="shared" si="7"/>
        <v>2015</v>
      </c>
      <c r="D41" s="193">
        <f t="shared" si="7"/>
        <v>1.6199999999999999</v>
      </c>
      <c r="E41" s="194">
        <f t="shared" si="8"/>
        <v>3.5389723872771754E-4</v>
      </c>
      <c r="G41" s="195">
        <f t="shared" si="9"/>
        <v>1.559326232164052E-2</v>
      </c>
      <c r="H41" s="196">
        <f t="shared" si="12"/>
        <v>0.72373824451410662</v>
      </c>
      <c r="I41" s="11">
        <f t="shared" si="10"/>
        <v>0.73933150683574711</v>
      </c>
      <c r="K41" s="1">
        <v>4101.1625631547613</v>
      </c>
      <c r="L41" s="171"/>
      <c r="M41" s="1">
        <f t="shared" si="11"/>
        <v>3032.1186975955648</v>
      </c>
      <c r="N41" s="197">
        <v>1.0155902692022722</v>
      </c>
      <c r="O41" s="140">
        <f t="shared" si="13"/>
        <v>2985.5728137068891</v>
      </c>
    </row>
    <row r="42" spans="2:15" ht="15.75">
      <c r="B42" s="8" t="str">
        <f t="shared" si="7"/>
        <v>September</v>
      </c>
      <c r="C42">
        <f t="shared" si="7"/>
        <v>2015</v>
      </c>
      <c r="D42" s="193">
        <f t="shared" si="7"/>
        <v>53.36</v>
      </c>
      <c r="E42" s="194">
        <f t="shared" si="8"/>
        <v>1.1656763369451239E-2</v>
      </c>
      <c r="G42" s="195">
        <f t="shared" si="9"/>
        <v>0.51361510955724576</v>
      </c>
      <c r="H42" s="196">
        <f t="shared" si="12"/>
        <v>0.72373824451410662</v>
      </c>
      <c r="I42" s="11">
        <f t="shared" si="10"/>
        <v>1.2373533540713524</v>
      </c>
      <c r="K42" s="1">
        <v>4054.9999999999995</v>
      </c>
      <c r="L42" s="171"/>
      <c r="M42" s="1">
        <f t="shared" si="11"/>
        <v>5017.4678507593335</v>
      </c>
      <c r="N42" s="197">
        <v>1.0149825566907551</v>
      </c>
      <c r="O42" s="140">
        <f t="shared" si="13"/>
        <v>4943.4030345489527</v>
      </c>
    </row>
    <row r="43" spans="2:15" ht="15.75">
      <c r="B43" s="8" t="str">
        <f t="shared" si="7"/>
        <v>October</v>
      </c>
      <c r="C43">
        <f t="shared" si="7"/>
        <v>2015</v>
      </c>
      <c r="D43" s="193">
        <f t="shared" si="7"/>
        <v>252.62999999999997</v>
      </c>
      <c r="E43" s="199">
        <f t="shared" si="8"/>
        <v>5.5188308283816837E-2</v>
      </c>
      <c r="F43" s="200"/>
      <c r="G43" s="201">
        <f t="shared" si="9"/>
        <v>2.4316826298247185</v>
      </c>
      <c r="H43" s="202">
        <f t="shared" si="12"/>
        <v>0.72373824451410662</v>
      </c>
      <c r="I43" s="203">
        <f t="shared" si="10"/>
        <v>3.1554208743388252</v>
      </c>
      <c r="J43" s="200"/>
      <c r="K43" s="2">
        <v>4078.71729967484</v>
      </c>
      <c r="L43" s="171"/>
      <c r="M43" s="1">
        <f t="shared" si="11"/>
        <v>12870.069707920877</v>
      </c>
      <c r="N43" s="197">
        <v>1.0218211251856673</v>
      </c>
      <c r="O43" s="140">
        <f t="shared" si="13"/>
        <v>12595.22766823044</v>
      </c>
    </row>
    <row r="44" spans="2:15" ht="16.5" thickBot="1">
      <c r="B44" s="8" t="str">
        <f t="shared" si="7"/>
        <v>November</v>
      </c>
      <c r="C44">
        <f t="shared" si="7"/>
        <v>2015</v>
      </c>
      <c r="D44" s="193">
        <f t="shared" si="7"/>
        <v>570.6</v>
      </c>
      <c r="E44" s="194">
        <f>+D44/$D$24</f>
        <v>0.12465047186298496</v>
      </c>
      <c r="G44" s="195">
        <f>+E44*$G$45</f>
        <v>5.4922935066222722</v>
      </c>
      <c r="H44" s="196">
        <f>+'[1]annual customer usage-Rogersvil'!K28</f>
        <v>0.72373824451410662</v>
      </c>
      <c r="I44" s="11">
        <f>+G44+H44</f>
        <v>6.216031751136379</v>
      </c>
      <c r="K44" s="1">
        <v>4172.3862561787355</v>
      </c>
      <c r="L44" s="171"/>
      <c r="M44" s="1">
        <f>+K44*I44</f>
        <v>25935.685446412066</v>
      </c>
      <c r="N44" s="197">
        <v>1.0192837328860593</v>
      </c>
      <c r="O44" s="140">
        <f t="shared" si="13"/>
        <v>25445.010657607825</v>
      </c>
    </row>
    <row r="45" spans="2:15" ht="15.75" thickBot="1">
      <c r="D45" s="137">
        <f>SUM(D33:D44)</f>
        <v>4577.6000000000004</v>
      </c>
      <c r="E45" s="138">
        <f>SUM(E33:E44)</f>
        <v>0.99999999999999978</v>
      </c>
      <c r="G45" s="206">
        <f>+'[1]annual customer usage-Rogersvil'!I13</f>
        <v>44.061554076260279</v>
      </c>
      <c r="H45" s="212">
        <f>SUM(H33:H44)</f>
        <v>8.684858934169279</v>
      </c>
      <c r="I45" s="207">
        <f>SUM(I33:I44)</f>
        <v>52.746413010429556</v>
      </c>
      <c r="K45" s="139">
        <f>AVERAGE(K33:K44)</f>
        <v>4275.6864283675204</v>
      </c>
      <c r="L45" s="171"/>
      <c r="M45" s="208">
        <f>SUM(M33:M44)</f>
        <v>229223.98746544181</v>
      </c>
      <c r="O45" s="209">
        <f>SUM(O33:O44)</f>
        <v>224195.80487992096</v>
      </c>
    </row>
    <row r="46" spans="2:15" ht="15.75" thickTop="1">
      <c r="D46" s="171"/>
      <c r="E46" s="171"/>
      <c r="G46" s="195">
        <f>SUM(G33:G44)</f>
        <v>44.061554076260279</v>
      </c>
      <c r="H46" s="171"/>
      <c r="K46" s="210" t="s">
        <v>27</v>
      </c>
      <c r="L46" s="171"/>
      <c r="M46" s="171"/>
    </row>
    <row r="47" spans="2:15">
      <c r="D47" s="171"/>
      <c r="E47" s="171"/>
      <c r="G47" s="195"/>
      <c r="H47" s="171"/>
      <c r="K47" s="210"/>
      <c r="L47" s="171"/>
      <c r="M47" s="171"/>
    </row>
    <row r="48" spans="2:15">
      <c r="D48" s="171"/>
      <c r="E48" s="171"/>
      <c r="G48" s="195"/>
      <c r="H48" s="171"/>
      <c r="K48" s="171"/>
      <c r="L48" s="171"/>
      <c r="M48" s="171"/>
    </row>
    <row r="49" spans="1:15" ht="15.75">
      <c r="D49" s="135" t="s">
        <v>30</v>
      </c>
      <c r="E49" s="136"/>
      <c r="G49" s="5" t="s">
        <v>1</v>
      </c>
      <c r="H49" s="171"/>
      <c r="K49" s="171"/>
      <c r="L49" s="171"/>
      <c r="M49" s="171"/>
    </row>
    <row r="50" spans="1:15" ht="15.75" thickBot="1">
      <c r="D50" s="334" t="s">
        <v>2</v>
      </c>
      <c r="E50" s="334"/>
      <c r="G50" s="5" t="s">
        <v>3</v>
      </c>
      <c r="H50" s="210" t="s">
        <v>4</v>
      </c>
      <c r="I50" s="5" t="s">
        <v>0</v>
      </c>
      <c r="K50" s="171"/>
      <c r="L50" s="171"/>
      <c r="M50" s="171"/>
      <c r="O50" s="5" t="s">
        <v>4</v>
      </c>
    </row>
    <row r="51" spans="1:15">
      <c r="D51" s="5" t="s">
        <v>5</v>
      </c>
      <c r="E51" s="5" t="s">
        <v>6</v>
      </c>
      <c r="G51" s="5" t="s">
        <v>7</v>
      </c>
      <c r="H51" s="210" t="s">
        <v>8</v>
      </c>
      <c r="I51" s="5" t="s">
        <v>4</v>
      </c>
      <c r="K51" s="210" t="s">
        <v>9</v>
      </c>
      <c r="L51" s="171"/>
      <c r="M51" s="211" t="s">
        <v>4</v>
      </c>
      <c r="N51" s="5" t="s">
        <v>4</v>
      </c>
      <c r="O51" s="5" t="s">
        <v>13</v>
      </c>
    </row>
    <row r="52" spans="1:15" ht="15.75" thickBot="1">
      <c r="D52" s="6" t="s">
        <v>10</v>
      </c>
      <c r="E52" s="6" t="s">
        <v>11</v>
      </c>
      <c r="G52" s="192" t="s">
        <v>9</v>
      </c>
      <c r="H52" s="192" t="s">
        <v>12</v>
      </c>
      <c r="I52" s="192" t="s">
        <v>12</v>
      </c>
      <c r="K52" s="128" t="s">
        <v>147</v>
      </c>
      <c r="L52" s="171"/>
      <c r="M52" s="192" t="s">
        <v>13</v>
      </c>
      <c r="N52" s="6" t="s">
        <v>172</v>
      </c>
      <c r="O52" s="6" t="s">
        <v>161</v>
      </c>
    </row>
    <row r="53" spans="1:15" ht="15.75">
      <c r="A53" s="7" t="s">
        <v>148</v>
      </c>
      <c r="D53" s="171"/>
      <c r="E53" s="171"/>
      <c r="H53" s="171"/>
      <c r="K53" s="171"/>
      <c r="L53" s="171"/>
      <c r="M53" s="171"/>
    </row>
    <row r="54" spans="1:15">
      <c r="K54" s="171"/>
      <c r="L54" s="171"/>
      <c r="M54" s="171"/>
    </row>
    <row r="55" spans="1:15" ht="15.75">
      <c r="B55" s="8" t="str">
        <f t="shared" ref="B55:D66" si="14">B33</f>
        <v>December</v>
      </c>
      <c r="C55">
        <f t="shared" si="14"/>
        <v>2014</v>
      </c>
      <c r="D55" s="193">
        <f t="shared" si="14"/>
        <v>931.3900000000001</v>
      </c>
      <c r="E55" s="194">
        <f t="shared" ref="E55:E65" si="15">+D55/$D$67</f>
        <v>0.20346688220901782</v>
      </c>
      <c r="G55" s="195">
        <f t="shared" ref="G55:G65" si="16">+E55*$G$67</f>
        <v>35.886720810004249</v>
      </c>
      <c r="H55" s="196">
        <f>+H66</f>
        <v>4.1992638036809824</v>
      </c>
      <c r="I55" s="11">
        <f t="shared" ref="I55:I65" si="17">+G55+H55</f>
        <v>40.085984613685234</v>
      </c>
      <c r="K55" s="193">
        <v>1110.2656367393768</v>
      </c>
      <c r="L55" s="171"/>
      <c r="M55" s="1">
        <f t="shared" ref="M55:M65" si="18">+K55*I55</f>
        <v>44506.091231438098</v>
      </c>
      <c r="N55" s="197">
        <v>1.0244448203198229</v>
      </c>
      <c r="O55" s="140">
        <f>+M55/N55</f>
        <v>43444.107821779682</v>
      </c>
    </row>
    <row r="56" spans="1:15" ht="15.75">
      <c r="B56" s="8" t="str">
        <f t="shared" si="14"/>
        <v>January</v>
      </c>
      <c r="C56">
        <f t="shared" si="14"/>
        <v>2015</v>
      </c>
      <c r="D56" s="193">
        <f t="shared" si="14"/>
        <v>1002.7500000000002</v>
      </c>
      <c r="E56" s="194">
        <f t="shared" si="15"/>
        <v>0.21905583711988819</v>
      </c>
      <c r="G56" s="195">
        <f t="shared" si="16"/>
        <v>38.636241845233215</v>
      </c>
      <c r="H56" s="196">
        <f t="shared" ref="H56:H65" si="19">+H55</f>
        <v>4.1992638036809824</v>
      </c>
      <c r="I56" s="11">
        <f t="shared" si="17"/>
        <v>42.8355056489142</v>
      </c>
      <c r="K56" s="193">
        <v>1124.4368768537345</v>
      </c>
      <c r="L56" s="171"/>
      <c r="M56" s="1">
        <f t="shared" si="18"/>
        <v>48165.822190315586</v>
      </c>
      <c r="N56" s="197">
        <v>1.0256012456649444</v>
      </c>
      <c r="O56" s="140">
        <f t="shared" ref="O56:O66" si="20">+M56/N56</f>
        <v>46963.498137219474</v>
      </c>
    </row>
    <row r="57" spans="1:15" ht="15.75">
      <c r="B57" s="8" t="str">
        <f t="shared" si="14"/>
        <v>February</v>
      </c>
      <c r="C57">
        <f t="shared" si="14"/>
        <v>2015</v>
      </c>
      <c r="D57" s="193">
        <f t="shared" si="14"/>
        <v>780</v>
      </c>
      <c r="E57" s="194">
        <f t="shared" si="15"/>
        <v>0.17039496679482696</v>
      </c>
      <c r="G57" s="195">
        <f t="shared" si="16"/>
        <v>30.053621181034057</v>
      </c>
      <c r="H57" s="196">
        <f t="shared" si="19"/>
        <v>4.1992638036809824</v>
      </c>
      <c r="I57" s="11">
        <f t="shared" si="17"/>
        <v>34.252884984715038</v>
      </c>
      <c r="K57" s="193">
        <v>1137.1200264909914</v>
      </c>
      <c r="L57" s="171"/>
      <c r="M57" s="1">
        <f t="shared" si="18"/>
        <v>38949.641481212049</v>
      </c>
      <c r="N57" s="197">
        <v>1.0231174827853895</v>
      </c>
      <c r="O57" s="140">
        <f t="shared" si="20"/>
        <v>38069.568878027058</v>
      </c>
    </row>
    <row r="58" spans="1:15" ht="15.75">
      <c r="B58" s="8" t="str">
        <f t="shared" si="14"/>
        <v>March</v>
      </c>
      <c r="C58">
        <f t="shared" si="14"/>
        <v>2015</v>
      </c>
      <c r="D58" s="193">
        <f t="shared" si="14"/>
        <v>581.33000000000004</v>
      </c>
      <c r="E58" s="194">
        <f t="shared" si="15"/>
        <v>0.12699449493184201</v>
      </c>
      <c r="G58" s="195">
        <f t="shared" si="16"/>
        <v>22.398809745090421</v>
      </c>
      <c r="H58" s="196">
        <f t="shared" si="19"/>
        <v>4.1992638036809824</v>
      </c>
      <c r="I58" s="11">
        <f t="shared" si="17"/>
        <v>26.598073548771403</v>
      </c>
      <c r="K58" s="193">
        <v>1141.0954565776285</v>
      </c>
      <c r="L58" s="171"/>
      <c r="M58" s="1">
        <f t="shared" si="18"/>
        <v>30350.940880220649</v>
      </c>
      <c r="N58" s="197">
        <v>1.0205247514095761</v>
      </c>
      <c r="O58" s="140">
        <f t="shared" si="20"/>
        <v>29740.524017961463</v>
      </c>
    </row>
    <row r="59" spans="1:15" ht="15.75">
      <c r="B59" s="8" t="str">
        <f t="shared" si="14"/>
        <v>April</v>
      </c>
      <c r="C59">
        <f t="shared" si="14"/>
        <v>2015</v>
      </c>
      <c r="D59" s="193">
        <f t="shared" si="14"/>
        <v>299.73</v>
      </c>
      <c r="E59" s="194">
        <f t="shared" si="15"/>
        <v>6.5477542817196782E-2</v>
      </c>
      <c r="G59" s="195">
        <f t="shared" si="16"/>
        <v>11.548681893065819</v>
      </c>
      <c r="H59" s="196">
        <f t="shared" si="19"/>
        <v>4.1992638036809824</v>
      </c>
      <c r="I59" s="11">
        <f t="shared" si="17"/>
        <v>15.7479456967468</v>
      </c>
      <c r="K59" s="193">
        <v>1141.7673407581192</v>
      </c>
      <c r="L59" s="171"/>
      <c r="M59" s="1">
        <f t="shared" si="18"/>
        <v>17980.49008057786</v>
      </c>
      <c r="N59" s="197">
        <v>1.0207034031040865</v>
      </c>
      <c r="O59" s="140">
        <f t="shared" si="20"/>
        <v>17615.783415531823</v>
      </c>
    </row>
    <row r="60" spans="1:15" ht="15.75">
      <c r="B60" s="8" t="str">
        <f t="shared" si="14"/>
        <v>May</v>
      </c>
      <c r="C60">
        <f t="shared" si="14"/>
        <v>2015</v>
      </c>
      <c r="D60" s="193">
        <f t="shared" si="14"/>
        <v>94.539999999999978</v>
      </c>
      <c r="E60" s="194">
        <f t="shared" si="15"/>
        <v>2.0652743795875561E-2</v>
      </c>
      <c r="G60" s="195">
        <f t="shared" si="16"/>
        <v>3.6426530082755884</v>
      </c>
      <c r="H60" s="196">
        <f t="shared" si="19"/>
        <v>4.1992638036809824</v>
      </c>
      <c r="I60" s="11">
        <f t="shared" si="17"/>
        <v>7.8419168119565708</v>
      </c>
      <c r="K60" s="193">
        <v>1137.0065795297412</v>
      </c>
      <c r="L60" s="171"/>
      <c r="M60" s="1">
        <f t="shared" si="18"/>
        <v>8916.3110113195125</v>
      </c>
      <c r="N60" s="197">
        <v>1.0216183124324427</v>
      </c>
      <c r="O60" s="140">
        <f t="shared" si="20"/>
        <v>8727.6342865174793</v>
      </c>
    </row>
    <row r="61" spans="1:15" ht="15.75">
      <c r="B61" s="8" t="str">
        <f t="shared" si="14"/>
        <v>June</v>
      </c>
      <c r="C61">
        <f t="shared" si="14"/>
        <v>2015</v>
      </c>
      <c r="D61" s="193">
        <f t="shared" si="14"/>
        <v>9.1899999999999977</v>
      </c>
      <c r="E61" s="194">
        <f t="shared" si="15"/>
        <v>2.0076022369800764E-3</v>
      </c>
      <c r="G61" s="195">
        <f t="shared" si="16"/>
        <v>0.35409330596628585</v>
      </c>
      <c r="H61" s="196">
        <f t="shared" si="19"/>
        <v>4.1992638036809824</v>
      </c>
      <c r="I61" s="11">
        <f t="shared" si="17"/>
        <v>4.5533571096472683</v>
      </c>
      <c r="K61" s="193">
        <v>1116.1236006590941</v>
      </c>
      <c r="L61" s="171"/>
      <c r="M61" s="1">
        <f t="shared" si="18"/>
        <v>5082.109332306195</v>
      </c>
      <c r="N61" s="197">
        <v>1.0223371761777924</v>
      </c>
      <c r="O61" s="140">
        <f t="shared" si="20"/>
        <v>4971.0696732233246</v>
      </c>
    </row>
    <row r="62" spans="1:15" ht="15.75">
      <c r="B62" s="8" t="str">
        <f t="shared" si="14"/>
        <v>July</v>
      </c>
      <c r="C62">
        <f t="shared" si="14"/>
        <v>2015</v>
      </c>
      <c r="D62" s="193">
        <f t="shared" si="14"/>
        <v>0.46000000000000019</v>
      </c>
      <c r="E62" s="194">
        <f t="shared" si="15"/>
        <v>1.0048933939182108E-4</v>
      </c>
      <c r="G62" s="195">
        <f t="shared" si="16"/>
        <v>1.7723930440097017E-2</v>
      </c>
      <c r="H62" s="196">
        <f t="shared" si="19"/>
        <v>4.1992638036809824</v>
      </c>
      <c r="I62" s="11">
        <f t="shared" si="17"/>
        <v>4.2169877341210791</v>
      </c>
      <c r="K62" s="193">
        <v>1095.8956382000456</v>
      </c>
      <c r="L62" s="171"/>
      <c r="M62" s="1">
        <f t="shared" si="18"/>
        <v>4621.3784641663842</v>
      </c>
      <c r="N62" s="197">
        <v>1.0164747684600897</v>
      </c>
      <c r="O62" s="140">
        <f t="shared" si="20"/>
        <v>4546.4763194934494</v>
      </c>
    </row>
    <row r="63" spans="1:15" ht="15.75">
      <c r="B63" s="8" t="str">
        <f t="shared" si="14"/>
        <v>August</v>
      </c>
      <c r="C63">
        <f t="shared" si="14"/>
        <v>2015</v>
      </c>
      <c r="D63" s="193">
        <f t="shared" si="14"/>
        <v>1.6199999999999999</v>
      </c>
      <c r="E63" s="194">
        <f t="shared" si="15"/>
        <v>3.5389723872771754E-4</v>
      </c>
      <c r="G63" s="195">
        <f t="shared" si="16"/>
        <v>6.2419059375993811E-2</v>
      </c>
      <c r="H63" s="196">
        <f t="shared" si="19"/>
        <v>4.1992638036809824</v>
      </c>
      <c r="I63" s="11">
        <f t="shared" si="17"/>
        <v>4.2616828630569765</v>
      </c>
      <c r="K63" s="193">
        <v>1085.90183720758</v>
      </c>
      <c r="L63" s="171"/>
      <c r="M63" s="1">
        <f t="shared" si="18"/>
        <v>4627.7692505896302</v>
      </c>
      <c r="N63" s="197">
        <v>1.0155902692022722</v>
      </c>
      <c r="O63" s="140">
        <f t="shared" si="20"/>
        <v>4556.7286246496424</v>
      </c>
    </row>
    <row r="64" spans="1:15" ht="15.75">
      <c r="B64" s="8" t="str">
        <f t="shared" si="14"/>
        <v>September</v>
      </c>
      <c r="C64">
        <f t="shared" si="14"/>
        <v>2015</v>
      </c>
      <c r="D64" s="193">
        <f t="shared" si="14"/>
        <v>53.36</v>
      </c>
      <c r="E64" s="194">
        <f t="shared" si="15"/>
        <v>1.1656763369451239E-2</v>
      </c>
      <c r="G64" s="195">
        <f t="shared" si="16"/>
        <v>2.0559759310512526</v>
      </c>
      <c r="H64" s="196">
        <f t="shared" si="19"/>
        <v>4.1992638036809824</v>
      </c>
      <c r="I64" s="11">
        <f t="shared" si="17"/>
        <v>6.2552397347322355</v>
      </c>
      <c r="K64" s="193">
        <v>1066</v>
      </c>
      <c r="L64" s="171"/>
      <c r="M64" s="1">
        <f t="shared" si="18"/>
        <v>6668.0855572245628</v>
      </c>
      <c r="N64" s="197">
        <v>1.0149825566907551</v>
      </c>
      <c r="O64" s="140">
        <f t="shared" si="20"/>
        <v>6569.6553238955767</v>
      </c>
    </row>
    <row r="65" spans="1:15" ht="15.75">
      <c r="B65" s="8" t="str">
        <f t="shared" si="14"/>
        <v>October</v>
      </c>
      <c r="C65">
        <f t="shared" si="14"/>
        <v>2015</v>
      </c>
      <c r="D65" s="193">
        <f t="shared" si="14"/>
        <v>252.62999999999997</v>
      </c>
      <c r="E65" s="199">
        <f t="shared" si="15"/>
        <v>5.5188308283816837E-2</v>
      </c>
      <c r="F65" s="200"/>
      <c r="G65" s="201">
        <f t="shared" si="16"/>
        <v>9.7339055371341452</v>
      </c>
      <c r="H65" s="202">
        <f t="shared" si="19"/>
        <v>4.1992638036809824</v>
      </c>
      <c r="I65" s="203">
        <f t="shared" si="17"/>
        <v>13.933169340815127</v>
      </c>
      <c r="J65" s="200"/>
      <c r="K65" s="198">
        <v>1063.8778569799331</v>
      </c>
      <c r="L65" s="204"/>
      <c r="M65" s="2">
        <f t="shared" si="18"/>
        <v>14823.190339244904</v>
      </c>
      <c r="N65" s="197">
        <v>1.0218211251856673</v>
      </c>
      <c r="O65" s="140">
        <f t="shared" si="20"/>
        <v>14506.639150322417</v>
      </c>
    </row>
    <row r="66" spans="1:15" ht="16.5" thickBot="1">
      <c r="B66" s="8" t="str">
        <f t="shared" si="14"/>
        <v>November</v>
      </c>
      <c r="C66">
        <f t="shared" si="14"/>
        <v>2015</v>
      </c>
      <c r="D66" s="193">
        <f t="shared" si="14"/>
        <v>570.6</v>
      </c>
      <c r="E66" s="194">
        <f>+D66/$D$67</f>
        <v>0.12465047186298496</v>
      </c>
      <c r="G66" s="195">
        <f>+E66*$G$67</f>
        <v>21.985379802433375</v>
      </c>
      <c r="H66" s="196">
        <f>+'[1]annual customer usage-Rogersvil'!K29</f>
        <v>4.1992638036809824</v>
      </c>
      <c r="I66" s="11">
        <f>+G66+H66</f>
        <v>26.184643606114356</v>
      </c>
      <c r="K66" s="193">
        <v>1081.1250260761658</v>
      </c>
      <c r="L66" s="171"/>
      <c r="M66" s="1">
        <f>+K66*I66</f>
        <v>28308.873501455491</v>
      </c>
      <c r="N66" s="197">
        <v>1.0192837328860593</v>
      </c>
      <c r="O66" s="140">
        <f t="shared" si="20"/>
        <v>27773.300591485058</v>
      </c>
    </row>
    <row r="67" spans="1:15" ht="15.75" thickBot="1">
      <c r="D67" s="137">
        <f>SUM(D55:D66)</f>
        <v>4577.6000000000004</v>
      </c>
      <c r="E67" s="132">
        <f>SUM(E55:E66)</f>
        <v>0.99999999999999978</v>
      </c>
      <c r="G67" s="206">
        <f>+'[1]annual customer usage-Rogersvil'!I14</f>
        <v>176.3762260491045</v>
      </c>
      <c r="H67" s="212">
        <f>SUM(H55:H66)</f>
        <v>50.391165644171799</v>
      </c>
      <c r="I67" s="207">
        <f>SUM(I55:I66)</f>
        <v>226.76739169327632</v>
      </c>
      <c r="K67" s="139">
        <f>AVERAGE(K55:K66)</f>
        <v>1108.3846563393677</v>
      </c>
      <c r="L67" s="171"/>
      <c r="M67" s="208">
        <f>SUM(M55:M66)</f>
        <v>253000.70332007093</v>
      </c>
      <c r="O67" s="209">
        <f>SUM(O55:O66)</f>
        <v>247484.98624010646</v>
      </c>
    </row>
    <row r="68" spans="1:15" ht="15.75" thickTop="1">
      <c r="D68" s="171"/>
      <c r="E68" s="171"/>
      <c r="G68" s="195">
        <f>SUM(G55:G66)</f>
        <v>176.37622604910453</v>
      </c>
      <c r="H68" s="171"/>
      <c r="K68" s="210" t="s">
        <v>27</v>
      </c>
      <c r="L68" s="171"/>
      <c r="M68" s="171"/>
    </row>
    <row r="69" spans="1:15">
      <c r="D69" s="171"/>
      <c r="E69" s="171"/>
      <c r="G69" s="195"/>
      <c r="H69" s="171"/>
      <c r="K69" s="210"/>
      <c r="L69" s="171"/>
      <c r="M69" s="171"/>
    </row>
    <row r="70" spans="1:15">
      <c r="D70" s="171"/>
      <c r="E70" s="171"/>
      <c r="G70" s="195"/>
      <c r="H70" s="171"/>
      <c r="K70" s="210"/>
      <c r="L70" s="171"/>
      <c r="M70" s="171"/>
    </row>
    <row r="71" spans="1:15">
      <c r="D71" s="171"/>
      <c r="E71" s="171"/>
      <c r="G71" s="195"/>
      <c r="H71" s="171"/>
      <c r="K71" s="210"/>
      <c r="L71" s="171"/>
      <c r="M71" s="171"/>
    </row>
    <row r="72" spans="1:15" ht="15.75">
      <c r="D72" s="135" t="s">
        <v>30</v>
      </c>
      <c r="E72" s="136"/>
      <c r="G72" s="5" t="s">
        <v>1</v>
      </c>
      <c r="H72" s="171"/>
      <c r="K72" s="171"/>
      <c r="L72" s="171"/>
      <c r="M72" s="171"/>
    </row>
    <row r="73" spans="1:15" ht="15.75" thickBot="1">
      <c r="D73" s="334" t="s">
        <v>2</v>
      </c>
      <c r="E73" s="334"/>
      <c r="G73" s="5" t="s">
        <v>3</v>
      </c>
      <c r="H73" s="210" t="s">
        <v>4</v>
      </c>
      <c r="I73" s="5" t="s">
        <v>0</v>
      </c>
      <c r="K73" s="171"/>
      <c r="L73" s="171"/>
      <c r="M73" s="171"/>
      <c r="O73" s="5" t="s">
        <v>4</v>
      </c>
    </row>
    <row r="74" spans="1:15">
      <c r="D74" s="5" t="s">
        <v>5</v>
      </c>
      <c r="E74" s="5" t="s">
        <v>6</v>
      </c>
      <c r="G74" s="5" t="s">
        <v>7</v>
      </c>
      <c r="H74" s="210" t="s">
        <v>8</v>
      </c>
      <c r="I74" s="5" t="s">
        <v>4</v>
      </c>
      <c r="K74" s="210" t="s">
        <v>9</v>
      </c>
      <c r="L74" s="171"/>
      <c r="M74" s="211" t="s">
        <v>4</v>
      </c>
      <c r="N74" s="5" t="s">
        <v>4</v>
      </c>
      <c r="O74" s="5" t="s">
        <v>13</v>
      </c>
    </row>
    <row r="75" spans="1:15" ht="15.75" thickBot="1">
      <c r="D75" s="6" t="s">
        <v>10</v>
      </c>
      <c r="E75" s="6" t="s">
        <v>11</v>
      </c>
      <c r="G75" s="192" t="s">
        <v>9</v>
      </c>
      <c r="H75" s="192" t="s">
        <v>12</v>
      </c>
      <c r="I75" s="192" t="s">
        <v>12</v>
      </c>
      <c r="K75" s="128" t="s">
        <v>147</v>
      </c>
      <c r="L75" s="171"/>
      <c r="M75" s="192" t="s">
        <v>13</v>
      </c>
      <c r="N75" s="6" t="s">
        <v>172</v>
      </c>
      <c r="O75" s="6" t="s">
        <v>161</v>
      </c>
    </row>
    <row r="76" spans="1:15" ht="15.75">
      <c r="A76" s="7" t="s">
        <v>149</v>
      </c>
      <c r="D76" s="171"/>
      <c r="E76" s="171"/>
      <c r="H76" s="171"/>
      <c r="K76" s="171"/>
      <c r="L76" s="171"/>
      <c r="M76" s="171"/>
    </row>
    <row r="77" spans="1:15">
      <c r="K77" s="171"/>
      <c r="L77" s="171"/>
      <c r="M77" s="171"/>
    </row>
    <row r="78" spans="1:15" ht="15.75">
      <c r="B78" s="8" t="str">
        <f t="shared" ref="B78:D89" si="21">B55</f>
        <v>December</v>
      </c>
      <c r="C78">
        <f t="shared" si="21"/>
        <v>2014</v>
      </c>
      <c r="D78" s="193">
        <f t="shared" si="21"/>
        <v>931.3900000000001</v>
      </c>
      <c r="E78" s="194">
        <f t="shared" ref="E78:E88" si="22">+D78/$D$67</f>
        <v>0.20346688220901782</v>
      </c>
      <c r="G78" s="195">
        <f t="shared" ref="G78:G88" si="23">+E78*$G$90</f>
        <v>13.769624431050078</v>
      </c>
      <c r="H78" s="196">
        <f>+H89</f>
        <v>1.3563886900501074</v>
      </c>
      <c r="I78" s="11">
        <f t="shared" ref="I78:I88" si="24">+G78+H78</f>
        <v>15.126013121100184</v>
      </c>
      <c r="K78" s="213">
        <v>385.26717977250252</v>
      </c>
      <c r="L78" s="171"/>
      <c r="M78" s="1">
        <f t="shared" ref="M78:M88" si="25">+K78*I78</f>
        <v>5827.5564163681365</v>
      </c>
      <c r="N78" s="197">
        <v>1.0244448203198229</v>
      </c>
      <c r="O78" s="140">
        <f>+M78/N78</f>
        <v>5688.5020069200245</v>
      </c>
    </row>
    <row r="79" spans="1:15" ht="15.75">
      <c r="B79" s="8" t="str">
        <f t="shared" si="21"/>
        <v>January</v>
      </c>
      <c r="C79">
        <f t="shared" si="21"/>
        <v>2015</v>
      </c>
      <c r="D79" s="193">
        <f t="shared" si="21"/>
        <v>1002.7500000000002</v>
      </c>
      <c r="E79" s="194">
        <f t="shared" si="22"/>
        <v>0.21905583711988819</v>
      </c>
      <c r="G79" s="195">
        <f t="shared" si="23"/>
        <v>14.824607198096896</v>
      </c>
      <c r="H79" s="196">
        <f t="shared" ref="H79:H88" si="26">+H78</f>
        <v>1.3563886900501074</v>
      </c>
      <c r="I79" s="11">
        <f t="shared" si="24"/>
        <v>16.180995888147002</v>
      </c>
      <c r="K79" s="213">
        <v>393.55936966100171</v>
      </c>
      <c r="L79" s="171"/>
      <c r="M79" s="1">
        <f t="shared" si="25"/>
        <v>6368.1825422263946</v>
      </c>
      <c r="N79" s="197">
        <v>1.0256012456649444</v>
      </c>
      <c r="O79" s="140">
        <f t="shared" ref="O79:O89" si="27">+M79/N79</f>
        <v>6209.2188061819379</v>
      </c>
    </row>
    <row r="80" spans="1:15" ht="15.75">
      <c r="B80" s="8" t="str">
        <f t="shared" si="21"/>
        <v>February</v>
      </c>
      <c r="C80">
        <f t="shared" si="21"/>
        <v>2015</v>
      </c>
      <c r="D80" s="193">
        <f t="shared" si="21"/>
        <v>780</v>
      </c>
      <c r="E80" s="194">
        <f t="shared" si="22"/>
        <v>0.17039496679482696</v>
      </c>
      <c r="G80" s="195">
        <f t="shared" si="23"/>
        <v>11.531482038908576</v>
      </c>
      <c r="H80" s="196">
        <f t="shared" si="26"/>
        <v>1.3563886900501074</v>
      </c>
      <c r="I80" s="11">
        <f t="shared" si="24"/>
        <v>12.887870728958683</v>
      </c>
      <c r="K80" s="213">
        <v>396.64169139465878</v>
      </c>
      <c r="L80" s="171"/>
      <c r="M80" s="1">
        <f t="shared" si="25"/>
        <v>5111.8668444098857</v>
      </c>
      <c r="N80" s="197">
        <v>1.0231174827853895</v>
      </c>
      <c r="O80" s="140">
        <f t="shared" si="27"/>
        <v>4996.3634972721484</v>
      </c>
    </row>
    <row r="81" spans="2:15" ht="15.75">
      <c r="B81" s="8" t="str">
        <f t="shared" si="21"/>
        <v>March</v>
      </c>
      <c r="C81">
        <f t="shared" si="21"/>
        <v>2015</v>
      </c>
      <c r="D81" s="193">
        <f t="shared" si="21"/>
        <v>581.33000000000004</v>
      </c>
      <c r="E81" s="194">
        <f t="shared" si="22"/>
        <v>0.12699449493184201</v>
      </c>
      <c r="G81" s="195">
        <f t="shared" si="23"/>
        <v>8.5943544277932347</v>
      </c>
      <c r="H81" s="196">
        <f t="shared" si="26"/>
        <v>1.3563886900501074</v>
      </c>
      <c r="I81" s="11">
        <f t="shared" si="24"/>
        <v>9.9507431178433414</v>
      </c>
      <c r="K81" s="213">
        <v>399.0401984421365</v>
      </c>
      <c r="L81" s="171"/>
      <c r="M81" s="1">
        <f t="shared" si="25"/>
        <v>3970.746508390931</v>
      </c>
      <c r="N81" s="197">
        <v>1.0205247514095761</v>
      </c>
      <c r="O81" s="140">
        <f t="shared" si="27"/>
        <v>3890.8870195518821</v>
      </c>
    </row>
    <row r="82" spans="2:15" ht="15.75">
      <c r="B82" s="8" t="str">
        <f t="shared" si="21"/>
        <v>April</v>
      </c>
      <c r="C82">
        <f t="shared" si="21"/>
        <v>2015</v>
      </c>
      <c r="D82" s="193">
        <f t="shared" si="21"/>
        <v>299.73</v>
      </c>
      <c r="E82" s="194">
        <f t="shared" si="22"/>
        <v>6.5477542817196782E-2</v>
      </c>
      <c r="G82" s="195">
        <f t="shared" si="23"/>
        <v>4.4311937327206001</v>
      </c>
      <c r="H82" s="196">
        <f t="shared" si="26"/>
        <v>1.3563886900501074</v>
      </c>
      <c r="I82" s="11">
        <f t="shared" si="24"/>
        <v>5.7875824227707078</v>
      </c>
      <c r="K82" s="213">
        <v>392.98998516320472</v>
      </c>
      <c r="L82" s="171"/>
      <c r="M82" s="1">
        <f t="shared" si="25"/>
        <v>2274.4619304554849</v>
      </c>
      <c r="N82" s="197">
        <v>1.0207034031040865</v>
      </c>
      <c r="O82" s="140">
        <f t="shared" si="27"/>
        <v>2228.327958482907</v>
      </c>
    </row>
    <row r="83" spans="2:15" ht="15.75">
      <c r="B83" s="8" t="str">
        <f t="shared" si="21"/>
        <v>May</v>
      </c>
      <c r="C83">
        <f t="shared" si="21"/>
        <v>2015</v>
      </c>
      <c r="D83" s="193">
        <f t="shared" si="21"/>
        <v>94.539999999999978</v>
      </c>
      <c r="E83" s="194">
        <f t="shared" si="22"/>
        <v>2.0652743795875561E-2</v>
      </c>
      <c r="G83" s="195">
        <f t="shared" si="23"/>
        <v>1.397674758921047</v>
      </c>
      <c r="H83" s="196">
        <f t="shared" si="26"/>
        <v>1.3563886900501074</v>
      </c>
      <c r="I83" s="11">
        <f t="shared" si="24"/>
        <v>2.7540634489711544</v>
      </c>
      <c r="K83" s="213">
        <v>385.23287586547974</v>
      </c>
      <c r="L83" s="171"/>
      <c r="M83" s="1">
        <f t="shared" si="25"/>
        <v>1060.9557827631597</v>
      </c>
      <c r="N83" s="197">
        <v>1.0216183124324427</v>
      </c>
      <c r="O83" s="140">
        <f t="shared" si="27"/>
        <v>1038.5050559998829</v>
      </c>
    </row>
    <row r="84" spans="2:15" ht="15.75">
      <c r="B84" s="8" t="str">
        <f t="shared" si="21"/>
        <v>June</v>
      </c>
      <c r="C84">
        <f t="shared" si="21"/>
        <v>2015</v>
      </c>
      <c r="D84" s="193">
        <f t="shared" si="21"/>
        <v>9.1899999999999977</v>
      </c>
      <c r="E84" s="194">
        <f t="shared" si="22"/>
        <v>2.0076022369800764E-3</v>
      </c>
      <c r="G84" s="195">
        <f t="shared" si="23"/>
        <v>0.13586451274047412</v>
      </c>
      <c r="H84" s="196">
        <f t="shared" si="26"/>
        <v>1.3563886900501074</v>
      </c>
      <c r="I84" s="11">
        <f t="shared" si="24"/>
        <v>1.4922532027905815</v>
      </c>
      <c r="K84" s="213">
        <v>380.27540801186939</v>
      </c>
      <c r="L84" s="171"/>
      <c r="M84" s="1">
        <f t="shared" si="25"/>
        <v>567.4671955482072</v>
      </c>
      <c r="N84" s="197">
        <v>1.0223371761777924</v>
      </c>
      <c r="O84" s="140">
        <f t="shared" si="27"/>
        <v>555.06853195908843</v>
      </c>
    </row>
    <row r="85" spans="2:15" ht="15.75">
      <c r="B85" s="8" t="str">
        <f t="shared" si="21"/>
        <v>July</v>
      </c>
      <c r="C85">
        <f t="shared" si="21"/>
        <v>2015</v>
      </c>
      <c r="D85" s="193">
        <f t="shared" si="21"/>
        <v>0.46000000000000019</v>
      </c>
      <c r="E85" s="194">
        <f t="shared" si="22"/>
        <v>1.0048933939182108E-4</v>
      </c>
      <c r="G85" s="195">
        <f t="shared" si="23"/>
        <v>6.8006176126896769E-3</v>
      </c>
      <c r="H85" s="196">
        <f t="shared" si="26"/>
        <v>1.3563886900501074</v>
      </c>
      <c r="I85" s="11">
        <f t="shared" si="24"/>
        <v>1.363189307662797</v>
      </c>
      <c r="K85" s="213">
        <v>374.70157640949554</v>
      </c>
      <c r="L85" s="171"/>
      <c r="M85" s="1">
        <f t="shared" si="25"/>
        <v>510.78918252581889</v>
      </c>
      <c r="N85" s="197">
        <v>1.0164747684600897</v>
      </c>
      <c r="O85" s="140">
        <f t="shared" si="27"/>
        <v>502.51043938812165</v>
      </c>
    </row>
    <row r="86" spans="2:15" ht="15.75">
      <c r="B86" s="8" t="str">
        <f t="shared" si="21"/>
        <v>August</v>
      </c>
      <c r="C86">
        <f t="shared" si="21"/>
        <v>2015</v>
      </c>
      <c r="D86" s="193">
        <f t="shared" si="21"/>
        <v>1.6199999999999999</v>
      </c>
      <c r="E86" s="194">
        <f t="shared" si="22"/>
        <v>3.5389723872771754E-4</v>
      </c>
      <c r="G86" s="195">
        <f t="shared" si="23"/>
        <v>2.3950001157733197E-2</v>
      </c>
      <c r="H86" s="196">
        <f t="shared" si="26"/>
        <v>1.3563886900501074</v>
      </c>
      <c r="I86" s="11">
        <f t="shared" si="24"/>
        <v>1.3803386912078406</v>
      </c>
      <c r="K86" s="213">
        <v>371.013353115727</v>
      </c>
      <c r="L86" s="171"/>
      <c r="M86" s="1">
        <f t="shared" si="25"/>
        <v>512.12408626039496</v>
      </c>
      <c r="N86" s="197">
        <v>1.0155902692022722</v>
      </c>
      <c r="O86" s="140">
        <f t="shared" si="27"/>
        <v>504.26249816538626</v>
      </c>
    </row>
    <row r="87" spans="2:15" ht="15.75">
      <c r="B87" s="8" t="str">
        <f t="shared" si="21"/>
        <v>September</v>
      </c>
      <c r="C87">
        <f t="shared" si="21"/>
        <v>2015</v>
      </c>
      <c r="D87" s="193">
        <f t="shared" si="21"/>
        <v>53.36</v>
      </c>
      <c r="E87" s="194">
        <f t="shared" si="22"/>
        <v>1.1656763369451239E-2</v>
      </c>
      <c r="G87" s="195">
        <f t="shared" si="23"/>
        <v>0.78887164307200208</v>
      </c>
      <c r="H87" s="196">
        <f t="shared" si="26"/>
        <v>1.3563886900501074</v>
      </c>
      <c r="I87" s="11">
        <f t="shared" si="24"/>
        <v>2.1452603331221094</v>
      </c>
      <c r="K87" s="213">
        <v>358</v>
      </c>
      <c r="L87" s="171"/>
      <c r="M87" s="1">
        <f t="shared" si="25"/>
        <v>768.00319925771521</v>
      </c>
      <c r="N87" s="197">
        <v>1.0149825566907551</v>
      </c>
      <c r="O87" s="140">
        <f t="shared" si="27"/>
        <v>756.66640199385267</v>
      </c>
    </row>
    <row r="88" spans="2:15" ht="15.75">
      <c r="B88" s="8" t="str">
        <f t="shared" si="21"/>
        <v>October</v>
      </c>
      <c r="C88">
        <f t="shared" si="21"/>
        <v>2015</v>
      </c>
      <c r="D88" s="193">
        <f t="shared" si="21"/>
        <v>252.62999999999997</v>
      </c>
      <c r="E88" s="199">
        <f t="shared" si="22"/>
        <v>5.5188308283816837E-2</v>
      </c>
      <c r="F88" s="200"/>
      <c r="G88" s="201">
        <f t="shared" si="23"/>
        <v>3.7348696249865045</v>
      </c>
      <c r="H88" s="202">
        <f t="shared" si="26"/>
        <v>1.3563886900501074</v>
      </c>
      <c r="I88" s="203">
        <f t="shared" si="24"/>
        <v>5.0912583150366117</v>
      </c>
      <c r="J88" s="200"/>
      <c r="K88" s="213">
        <v>361.28874876360044</v>
      </c>
      <c r="L88" s="204"/>
      <c r="M88" s="2">
        <f t="shared" si="25"/>
        <v>1839.4143462718541</v>
      </c>
      <c r="N88" s="197">
        <v>1.0218211251856673</v>
      </c>
      <c r="O88" s="140">
        <f t="shared" si="27"/>
        <v>1800.1334097860115</v>
      </c>
    </row>
    <row r="89" spans="2:15" ht="16.5" thickBot="1">
      <c r="B89" s="8" t="str">
        <f t="shared" si="21"/>
        <v>November</v>
      </c>
      <c r="C89">
        <f t="shared" si="21"/>
        <v>2015</v>
      </c>
      <c r="D89" s="193">
        <f t="shared" si="21"/>
        <v>570.6</v>
      </c>
      <c r="E89" s="194">
        <f>+D89/$D$67</f>
        <v>0.12465047186298496</v>
      </c>
      <c r="G89" s="195">
        <f>+E89*$G$90</f>
        <v>8.4357226300015817</v>
      </c>
      <c r="H89" s="196">
        <f>+'[1]annual customer usage-Rogersvil'!K30</f>
        <v>1.3563886900501074</v>
      </c>
      <c r="I89" s="11">
        <f>+G89+H89</f>
        <v>9.7921113200516885</v>
      </c>
      <c r="K89" s="213">
        <v>369.55267062314545</v>
      </c>
      <c r="L89" s="171"/>
      <c r="M89" s="1">
        <f>+K89*I89</f>
        <v>3618.7008893642355</v>
      </c>
      <c r="N89" s="197">
        <v>1.0192837328860593</v>
      </c>
      <c r="O89" s="140">
        <f t="shared" si="27"/>
        <v>3550.2390282615765</v>
      </c>
    </row>
    <row r="90" spans="2:15" ht="15.75" thickBot="1">
      <c r="D90" s="137">
        <f>SUM(D78:D89)</f>
        <v>4577.6000000000004</v>
      </c>
      <c r="E90" s="132">
        <f>SUM(E78:E89)</f>
        <v>0.99999999999999978</v>
      </c>
      <c r="G90" s="206">
        <f>+'[1]annual customer usage-Rogersvil'!I15</f>
        <v>67.675015617061419</v>
      </c>
      <c r="H90" s="212">
        <f>SUM(H78:H89)</f>
        <v>16.276664280601285</v>
      </c>
      <c r="I90" s="207">
        <f>SUM(I78:I89)</f>
        <v>83.9516798976627</v>
      </c>
      <c r="K90" s="139">
        <f>AVERAGE(K78:K89)</f>
        <v>380.63025476856848</v>
      </c>
      <c r="L90" s="171"/>
      <c r="M90" s="208">
        <f>SUM(M78:M89)</f>
        <v>32430.268923842214</v>
      </c>
      <c r="O90" s="209">
        <f>SUM(O78:O89)</f>
        <v>31720.684653962824</v>
      </c>
    </row>
    <row r="91" spans="2:15" ht="15.75" thickTop="1">
      <c r="D91" s="171"/>
      <c r="E91" s="171"/>
      <c r="G91" s="195">
        <f>SUM(G78:G89)</f>
        <v>67.675015617061419</v>
      </c>
      <c r="H91" s="171"/>
      <c r="K91" s="210" t="s">
        <v>27</v>
      </c>
      <c r="L91" s="171"/>
      <c r="M91" s="171"/>
    </row>
    <row r="92" spans="2:15">
      <c r="D92" s="171"/>
      <c r="E92" s="171"/>
      <c r="G92" s="195"/>
      <c r="H92" s="171"/>
      <c r="K92" s="210"/>
      <c r="L92" s="171"/>
      <c r="M92" s="171"/>
    </row>
    <row r="93" spans="2:15">
      <c r="D93" s="171"/>
      <c r="E93" s="171"/>
      <c r="G93" s="195"/>
      <c r="H93" s="171"/>
      <c r="K93" s="171"/>
      <c r="L93" s="171"/>
      <c r="M93" s="171"/>
    </row>
    <row r="94" spans="2:15" ht="15.75">
      <c r="D94" s="135" t="s">
        <v>30</v>
      </c>
      <c r="E94" s="136"/>
      <c r="G94" s="5" t="s">
        <v>1</v>
      </c>
      <c r="H94" s="171"/>
      <c r="K94" s="171"/>
      <c r="L94" s="171"/>
      <c r="M94" s="171"/>
    </row>
    <row r="95" spans="2:15" ht="15.75" thickBot="1">
      <c r="D95" s="334" t="s">
        <v>2</v>
      </c>
      <c r="E95" s="334"/>
      <c r="G95" s="5" t="s">
        <v>3</v>
      </c>
      <c r="H95" s="210" t="s">
        <v>4</v>
      </c>
      <c r="I95" s="5" t="s">
        <v>0</v>
      </c>
      <c r="K95" s="171"/>
      <c r="L95" s="171"/>
      <c r="M95" s="171"/>
      <c r="O95" s="5" t="s">
        <v>4</v>
      </c>
    </row>
    <row r="96" spans="2:15">
      <c r="D96" s="5" t="s">
        <v>5</v>
      </c>
      <c r="E96" s="5" t="s">
        <v>6</v>
      </c>
      <c r="G96" s="5" t="s">
        <v>7</v>
      </c>
      <c r="H96" s="210" t="s">
        <v>8</v>
      </c>
      <c r="I96" s="5" t="s">
        <v>4</v>
      </c>
      <c r="K96" s="210" t="s">
        <v>9</v>
      </c>
      <c r="L96" s="171"/>
      <c r="M96" s="211" t="s">
        <v>4</v>
      </c>
      <c r="N96" s="5" t="s">
        <v>4</v>
      </c>
      <c r="O96" s="5" t="s">
        <v>13</v>
      </c>
    </row>
    <row r="97" spans="1:17" ht="15.75" thickBot="1">
      <c r="D97" s="6" t="s">
        <v>10</v>
      </c>
      <c r="E97" s="6" t="s">
        <v>11</v>
      </c>
      <c r="G97" s="192" t="s">
        <v>9</v>
      </c>
      <c r="H97" s="192" t="s">
        <v>12</v>
      </c>
      <c r="I97" s="192" t="s">
        <v>12</v>
      </c>
      <c r="K97" s="128" t="s">
        <v>147</v>
      </c>
      <c r="L97" s="171"/>
      <c r="M97" s="192" t="s">
        <v>13</v>
      </c>
      <c r="N97" s="6" t="s">
        <v>172</v>
      </c>
      <c r="O97" s="6" t="s">
        <v>161</v>
      </c>
    </row>
    <row r="98" spans="1:17" ht="15.75">
      <c r="A98" s="7" t="s">
        <v>31</v>
      </c>
      <c r="D98" s="171"/>
      <c r="E98" s="171"/>
      <c r="H98" s="171"/>
      <c r="K98" s="171"/>
      <c r="L98" s="171"/>
      <c r="M98" s="171"/>
    </row>
    <row r="99" spans="1:17">
      <c r="K99" s="171"/>
      <c r="L99" s="171"/>
      <c r="M99" s="171"/>
    </row>
    <row r="100" spans="1:17" ht="15.75">
      <c r="B100" s="8" t="str">
        <f t="shared" ref="B100:D111" si="28">B78</f>
        <v>December</v>
      </c>
      <c r="C100">
        <f t="shared" si="28"/>
        <v>2014</v>
      </c>
      <c r="D100" s="193">
        <f t="shared" si="28"/>
        <v>931.3900000000001</v>
      </c>
      <c r="E100" s="194">
        <f t="shared" ref="E100:E110" si="29">+D100/$D$112</f>
        <v>0.20346688220901782</v>
      </c>
      <c r="G100" s="195">
        <f t="shared" ref="G100:G110" si="30">+E100*$G$112</f>
        <v>218.27017763571322</v>
      </c>
      <c r="H100" s="196">
        <f>+H111</f>
        <v>35.29661016949153</v>
      </c>
      <c r="I100" s="11">
        <f t="shared" ref="I100:I110" si="31">+G100+H100</f>
        <v>253.56678780520474</v>
      </c>
      <c r="K100" s="1">
        <v>78</v>
      </c>
      <c r="L100" s="171"/>
      <c r="M100" s="1">
        <f t="shared" ref="M100:M110" si="32">+K100*I100</f>
        <v>19778.20944880597</v>
      </c>
      <c r="N100" s="197">
        <v>1.0244448203198229</v>
      </c>
      <c r="O100" s="140">
        <f>+M100/N100</f>
        <v>19306.271120226254</v>
      </c>
    </row>
    <row r="101" spans="1:17" ht="15.75">
      <c r="B101" s="8" t="str">
        <f t="shared" si="28"/>
        <v>January</v>
      </c>
      <c r="C101">
        <f t="shared" si="28"/>
        <v>2015</v>
      </c>
      <c r="D101" s="193">
        <f t="shared" si="28"/>
        <v>1002.7500000000002</v>
      </c>
      <c r="E101" s="194">
        <f t="shared" si="29"/>
        <v>0.21905583711988819</v>
      </c>
      <c r="G101" s="195">
        <f t="shared" si="30"/>
        <v>234.99331174289125</v>
      </c>
      <c r="H101" s="196">
        <f t="shared" ref="H101:H110" si="33">+H100</f>
        <v>35.29661016949153</v>
      </c>
      <c r="I101" s="11">
        <f t="shared" si="31"/>
        <v>270.28992191238279</v>
      </c>
      <c r="K101" s="1">
        <v>78</v>
      </c>
      <c r="L101" s="171"/>
      <c r="M101" s="1">
        <f t="shared" si="32"/>
        <v>21082.613909165859</v>
      </c>
      <c r="N101" s="197">
        <v>1.0256012456649444</v>
      </c>
      <c r="O101" s="140">
        <f t="shared" ref="O101:O111" si="34">+M101/N101</f>
        <v>20556.345849109253</v>
      </c>
    </row>
    <row r="102" spans="1:17" ht="15.75">
      <c r="B102" s="8" t="str">
        <f t="shared" si="28"/>
        <v>February</v>
      </c>
      <c r="C102">
        <f t="shared" si="28"/>
        <v>2015</v>
      </c>
      <c r="D102" s="193">
        <f t="shared" si="28"/>
        <v>780</v>
      </c>
      <c r="E102" s="194">
        <f t="shared" si="29"/>
        <v>0.17039496679482696</v>
      </c>
      <c r="G102" s="195">
        <f t="shared" si="30"/>
        <v>182.79210487105971</v>
      </c>
      <c r="H102" s="196">
        <f t="shared" si="33"/>
        <v>35.29661016949153</v>
      </c>
      <c r="I102" s="11">
        <f t="shared" si="31"/>
        <v>218.08871504055122</v>
      </c>
      <c r="K102" s="1">
        <v>78</v>
      </c>
      <c r="L102" s="171"/>
      <c r="M102" s="1">
        <f t="shared" si="32"/>
        <v>17010.919773162994</v>
      </c>
      <c r="N102" s="197">
        <v>1.0231174827853895</v>
      </c>
      <c r="O102" s="140">
        <f t="shared" si="34"/>
        <v>16626.555658937192</v>
      </c>
    </row>
    <row r="103" spans="1:17" ht="15.75">
      <c r="B103" s="8" t="str">
        <f t="shared" si="28"/>
        <v>March</v>
      </c>
      <c r="C103">
        <f t="shared" si="28"/>
        <v>2015</v>
      </c>
      <c r="D103" s="193">
        <f t="shared" si="28"/>
        <v>581.33000000000004</v>
      </c>
      <c r="E103" s="194">
        <f t="shared" si="29"/>
        <v>0.12699449493184201</v>
      </c>
      <c r="G103" s="195">
        <f t="shared" si="30"/>
        <v>136.23401836499121</v>
      </c>
      <c r="H103" s="196">
        <f t="shared" si="33"/>
        <v>35.29661016949153</v>
      </c>
      <c r="I103" s="11">
        <f t="shared" si="31"/>
        <v>171.53062853448273</v>
      </c>
      <c r="K103" s="1">
        <v>78</v>
      </c>
      <c r="L103" s="171"/>
      <c r="M103" s="1">
        <f t="shared" si="32"/>
        <v>13379.389025689652</v>
      </c>
      <c r="N103" s="197">
        <v>1.0205247514095761</v>
      </c>
      <c r="O103" s="140">
        <f t="shared" si="34"/>
        <v>13110.303309360877</v>
      </c>
    </row>
    <row r="104" spans="1:17" ht="15.75">
      <c r="B104" s="8" t="str">
        <f t="shared" si="28"/>
        <v>April</v>
      </c>
      <c r="C104">
        <f t="shared" si="28"/>
        <v>2015</v>
      </c>
      <c r="D104" s="193">
        <f t="shared" si="28"/>
        <v>299.73</v>
      </c>
      <c r="E104" s="194">
        <f t="shared" si="29"/>
        <v>6.5477542817196782E-2</v>
      </c>
      <c r="G104" s="195">
        <f t="shared" si="30"/>
        <v>70.241381529490681</v>
      </c>
      <c r="H104" s="196">
        <f t="shared" si="33"/>
        <v>35.29661016949153</v>
      </c>
      <c r="I104" s="11">
        <f t="shared" si="31"/>
        <v>105.53799169898221</v>
      </c>
      <c r="K104" s="1">
        <v>78</v>
      </c>
      <c r="L104" s="171"/>
      <c r="M104" s="1">
        <f t="shared" si="32"/>
        <v>8231.9633525206118</v>
      </c>
      <c r="N104" s="197">
        <v>1.0207034031040865</v>
      </c>
      <c r="O104" s="140">
        <f t="shared" si="34"/>
        <v>8064.9906010758696</v>
      </c>
    </row>
    <row r="105" spans="1:17" ht="15.75">
      <c r="B105" s="8" t="str">
        <f t="shared" si="28"/>
        <v>May</v>
      </c>
      <c r="C105">
        <f t="shared" si="28"/>
        <v>2015</v>
      </c>
      <c r="D105" s="193">
        <f t="shared" si="28"/>
        <v>94.539999999999978</v>
      </c>
      <c r="E105" s="194">
        <f t="shared" si="29"/>
        <v>2.0652743795875561E-2</v>
      </c>
      <c r="G105" s="195">
        <f t="shared" si="30"/>
        <v>22.155340505782029</v>
      </c>
      <c r="H105" s="196">
        <f t="shared" si="33"/>
        <v>35.29661016949153</v>
      </c>
      <c r="I105" s="11">
        <f t="shared" si="31"/>
        <v>57.451950675273558</v>
      </c>
      <c r="K105" s="1">
        <v>78</v>
      </c>
      <c r="L105" s="171"/>
      <c r="M105" s="1">
        <f t="shared" si="32"/>
        <v>4481.2521526713372</v>
      </c>
      <c r="N105" s="197">
        <v>1.0216183124324427</v>
      </c>
      <c r="O105" s="140">
        <f t="shared" si="34"/>
        <v>4386.4250455746133</v>
      </c>
    </row>
    <row r="106" spans="1:17" ht="15.75">
      <c r="B106" s="8" t="str">
        <f t="shared" si="28"/>
        <v>June</v>
      </c>
      <c r="C106">
        <f t="shared" si="28"/>
        <v>2015</v>
      </c>
      <c r="D106" s="193">
        <f t="shared" si="28"/>
        <v>9.1899999999999977</v>
      </c>
      <c r="E106" s="194">
        <f t="shared" si="29"/>
        <v>2.0076022369800764E-3</v>
      </c>
      <c r="G106" s="195">
        <f t="shared" si="30"/>
        <v>2.1536659535449214</v>
      </c>
      <c r="H106" s="196">
        <f t="shared" si="33"/>
        <v>35.29661016949153</v>
      </c>
      <c r="I106" s="11">
        <f t="shared" si="31"/>
        <v>37.450276123036453</v>
      </c>
      <c r="K106" s="1">
        <v>78</v>
      </c>
      <c r="L106" s="171"/>
      <c r="M106" s="1">
        <f t="shared" si="32"/>
        <v>2921.1215375968432</v>
      </c>
      <c r="N106" s="197">
        <v>1.0223371761777924</v>
      </c>
      <c r="O106" s="140">
        <f t="shared" si="34"/>
        <v>2857.2975782002054</v>
      </c>
      <c r="P106" s="200"/>
      <c r="Q106" s="200"/>
    </row>
    <row r="107" spans="1:17" ht="15.75">
      <c r="B107" s="8" t="str">
        <f t="shared" si="28"/>
        <v>July</v>
      </c>
      <c r="C107">
        <f t="shared" si="28"/>
        <v>2015</v>
      </c>
      <c r="D107" s="193">
        <f t="shared" si="28"/>
        <v>0.46000000000000019</v>
      </c>
      <c r="E107" s="194">
        <f t="shared" si="29"/>
        <v>1.0048933939182108E-4</v>
      </c>
      <c r="G107" s="195">
        <f t="shared" si="30"/>
        <v>0.10780047210344552</v>
      </c>
      <c r="H107" s="196">
        <f t="shared" si="33"/>
        <v>35.29661016949153</v>
      </c>
      <c r="I107" s="11">
        <f t="shared" si="31"/>
        <v>35.404410641594978</v>
      </c>
      <c r="K107" s="1">
        <v>78</v>
      </c>
      <c r="L107" s="171"/>
      <c r="M107" s="1">
        <f t="shared" si="32"/>
        <v>2761.5440300444084</v>
      </c>
      <c r="N107" s="197">
        <v>1.0164747684600897</v>
      </c>
      <c r="O107" s="140">
        <f t="shared" si="34"/>
        <v>2716.7856160640513</v>
      </c>
      <c r="P107" s="200"/>
      <c r="Q107" s="200"/>
    </row>
    <row r="108" spans="1:17" ht="15.75">
      <c r="B108" s="8" t="str">
        <f t="shared" si="28"/>
        <v>August</v>
      </c>
      <c r="C108">
        <f t="shared" si="28"/>
        <v>2015</v>
      </c>
      <c r="D108" s="193">
        <f t="shared" si="28"/>
        <v>1.6199999999999999</v>
      </c>
      <c r="E108" s="194">
        <f t="shared" si="29"/>
        <v>3.5389723872771754E-4</v>
      </c>
      <c r="G108" s="195">
        <f t="shared" si="30"/>
        <v>0.37964514088604712</v>
      </c>
      <c r="H108" s="196">
        <f t="shared" si="33"/>
        <v>35.29661016949153</v>
      </c>
      <c r="I108" s="11">
        <f t="shared" si="31"/>
        <v>35.676255310377577</v>
      </c>
      <c r="K108" s="1">
        <v>78</v>
      </c>
      <c r="L108" s="171"/>
      <c r="M108" s="1">
        <f t="shared" si="32"/>
        <v>2782.7479142094512</v>
      </c>
      <c r="N108" s="197">
        <v>1.0155902692022722</v>
      </c>
      <c r="O108" s="140">
        <f t="shared" si="34"/>
        <v>2740.0301072156285</v>
      </c>
      <c r="P108" s="200"/>
      <c r="Q108" s="200"/>
    </row>
    <row r="109" spans="1:17" ht="15.75">
      <c r="B109" s="8" t="str">
        <f t="shared" si="28"/>
        <v>September</v>
      </c>
      <c r="C109">
        <f t="shared" si="28"/>
        <v>2015</v>
      </c>
      <c r="D109" s="193">
        <f t="shared" si="28"/>
        <v>53.36</v>
      </c>
      <c r="E109" s="194">
        <f t="shared" si="29"/>
        <v>1.1656763369451239E-2</v>
      </c>
      <c r="G109" s="195">
        <f t="shared" si="30"/>
        <v>12.504854763999674</v>
      </c>
      <c r="H109" s="196">
        <f t="shared" si="33"/>
        <v>35.29661016949153</v>
      </c>
      <c r="I109" s="11">
        <f t="shared" si="31"/>
        <v>47.801464933491204</v>
      </c>
      <c r="K109" s="1">
        <v>78</v>
      </c>
      <c r="L109" s="171"/>
      <c r="M109" s="1">
        <f t="shared" si="32"/>
        <v>3728.5142648123137</v>
      </c>
      <c r="N109" s="197">
        <v>1.0149825566907551</v>
      </c>
      <c r="O109" s="140">
        <f t="shared" si="34"/>
        <v>3673.4761994026244</v>
      </c>
      <c r="P109" s="200"/>
      <c r="Q109" s="200"/>
    </row>
    <row r="110" spans="1:17" ht="15.75">
      <c r="B110" s="8" t="str">
        <f t="shared" si="28"/>
        <v>October</v>
      </c>
      <c r="C110">
        <f t="shared" si="28"/>
        <v>2015</v>
      </c>
      <c r="D110" s="193">
        <f t="shared" si="28"/>
        <v>252.62999999999997</v>
      </c>
      <c r="E110" s="199">
        <f t="shared" si="29"/>
        <v>5.5188308283816837E-2</v>
      </c>
      <c r="F110" s="200"/>
      <c r="G110" s="201">
        <f t="shared" si="30"/>
        <v>59.20355058150745</v>
      </c>
      <c r="H110" s="202">
        <f t="shared" si="33"/>
        <v>35.29661016949153</v>
      </c>
      <c r="I110" s="203">
        <f t="shared" si="31"/>
        <v>94.500160750998987</v>
      </c>
      <c r="J110" s="200"/>
      <c r="K110" s="1">
        <v>78</v>
      </c>
      <c r="L110" s="204"/>
      <c r="M110" s="2">
        <f t="shared" si="32"/>
        <v>7371.0125385779211</v>
      </c>
      <c r="N110" s="197">
        <v>1.0218211251856673</v>
      </c>
      <c r="O110" s="140">
        <f t="shared" si="34"/>
        <v>7213.603591566568</v>
      </c>
      <c r="P110" s="200"/>
      <c r="Q110" s="200"/>
    </row>
    <row r="111" spans="1:17" ht="16.5" thickBot="1">
      <c r="B111" s="8" t="str">
        <f t="shared" si="28"/>
        <v>November</v>
      </c>
      <c r="C111">
        <f t="shared" si="28"/>
        <v>2015</v>
      </c>
      <c r="D111" s="193">
        <f t="shared" si="28"/>
        <v>570.6</v>
      </c>
      <c r="E111" s="194">
        <f>+D111/$D$112</f>
        <v>0.12465047186298496</v>
      </c>
      <c r="G111" s="195">
        <f>+E111*$G$112</f>
        <v>133.71945517875216</v>
      </c>
      <c r="H111" s="196">
        <f>+'[1]annual customer usage-Rogersvil'!K31</f>
        <v>35.29661016949153</v>
      </c>
      <c r="I111" s="11">
        <f>+G111+H111</f>
        <v>169.01606534824367</v>
      </c>
      <c r="K111" s="1">
        <v>78</v>
      </c>
      <c r="L111" s="171"/>
      <c r="M111" s="1">
        <f>+K111*I111</f>
        <v>13183.253097163006</v>
      </c>
      <c r="N111" s="197">
        <v>1.0192837328860593</v>
      </c>
      <c r="O111" s="140">
        <f t="shared" si="34"/>
        <v>12933.840374196079</v>
      </c>
      <c r="P111" s="200"/>
      <c r="Q111" s="200"/>
    </row>
    <row r="112" spans="1:17" ht="15.75" thickBot="1">
      <c r="D112" s="137">
        <f>SUM(D100:D111)</f>
        <v>4577.6000000000004</v>
      </c>
      <c r="E112" s="132">
        <f>SUM(E100:E111)</f>
        <v>0.99999999999999978</v>
      </c>
      <c r="G112" s="214">
        <f>+'[1]annual customer usage-Rogersvil'!I16</f>
        <v>1072.7553067407218</v>
      </c>
      <c r="H112" s="212">
        <f>SUM(H100:H111)</f>
        <v>423.55932203389847</v>
      </c>
      <c r="I112" s="207">
        <f>SUM(I100:I111)</f>
        <v>1496.3146287746201</v>
      </c>
      <c r="K112" s="139">
        <f>AVERAGE(K100:K111)</f>
        <v>78</v>
      </c>
      <c r="L112" s="171"/>
      <c r="M112" s="208">
        <f>SUM(M100:M111)</f>
        <v>116712.54104442037</v>
      </c>
      <c r="O112" s="209">
        <f>SUM(O100:O111)</f>
        <v>114185.9250509292</v>
      </c>
      <c r="P112" s="200"/>
      <c r="Q112" s="200"/>
    </row>
    <row r="113" spans="1:17" ht="15.75" thickTop="1">
      <c r="D113" s="171"/>
      <c r="E113" s="171"/>
      <c r="G113" s="215">
        <f>SUM(G100:G111)</f>
        <v>1072.7553067407218</v>
      </c>
      <c r="H113" s="171"/>
      <c r="K113" s="210" t="s">
        <v>27</v>
      </c>
      <c r="L113" s="171"/>
      <c r="M113" s="171"/>
      <c r="P113" s="200"/>
      <c r="Q113" s="200"/>
    </row>
    <row r="114" spans="1:17">
      <c r="D114" s="171"/>
      <c r="E114" s="171"/>
      <c r="H114" s="171"/>
      <c r="K114" s="171"/>
      <c r="L114" s="171"/>
      <c r="M114" s="171"/>
      <c r="P114" s="200"/>
      <c r="Q114" s="200"/>
    </row>
    <row r="115" spans="1:17">
      <c r="D115" s="171"/>
      <c r="E115" s="171"/>
      <c r="H115" s="171"/>
      <c r="K115" s="171"/>
      <c r="L115" s="171"/>
      <c r="M115" s="171"/>
      <c r="P115" s="200"/>
      <c r="Q115" s="200"/>
    </row>
    <row r="116" spans="1:17">
      <c r="D116" s="335" t="s">
        <v>30</v>
      </c>
      <c r="E116" s="335"/>
      <c r="G116" s="5" t="s">
        <v>1</v>
      </c>
      <c r="H116" s="171"/>
      <c r="K116" s="171"/>
      <c r="L116" s="171"/>
      <c r="M116" s="171"/>
      <c r="P116" s="200"/>
      <c r="Q116" s="200"/>
    </row>
    <row r="117" spans="1:17" ht="15.75" thickBot="1">
      <c r="D117" s="334" t="s">
        <v>2</v>
      </c>
      <c r="E117" s="334"/>
      <c r="G117" s="5" t="s">
        <v>3</v>
      </c>
      <c r="H117" s="210" t="s">
        <v>4</v>
      </c>
      <c r="I117" s="5" t="s">
        <v>0</v>
      </c>
      <c r="K117" s="171"/>
      <c r="L117" s="171"/>
      <c r="M117" s="171"/>
      <c r="O117" s="5" t="s">
        <v>4</v>
      </c>
      <c r="P117" s="200"/>
      <c r="Q117" s="200"/>
    </row>
    <row r="118" spans="1:17">
      <c r="D118" s="5" t="s">
        <v>5</v>
      </c>
      <c r="E118" s="5" t="s">
        <v>6</v>
      </c>
      <c r="G118" s="5" t="s">
        <v>7</v>
      </c>
      <c r="H118" s="210" t="s">
        <v>8</v>
      </c>
      <c r="I118" s="5" t="s">
        <v>4</v>
      </c>
      <c r="K118" s="210" t="s">
        <v>9</v>
      </c>
      <c r="L118" s="171"/>
      <c r="M118" s="211" t="s">
        <v>4</v>
      </c>
      <c r="N118" s="5" t="s">
        <v>4</v>
      </c>
      <c r="O118" s="5" t="s">
        <v>13</v>
      </c>
      <c r="P118" s="200"/>
      <c r="Q118" s="200"/>
    </row>
    <row r="119" spans="1:17" ht="15.75" thickBot="1">
      <c r="D119" s="6" t="s">
        <v>10</v>
      </c>
      <c r="E119" s="6" t="s">
        <v>11</v>
      </c>
      <c r="G119" s="192" t="s">
        <v>9</v>
      </c>
      <c r="H119" s="192" t="s">
        <v>12</v>
      </c>
      <c r="I119" s="192" t="s">
        <v>12</v>
      </c>
      <c r="K119" s="128" t="s">
        <v>147</v>
      </c>
      <c r="L119" s="171"/>
      <c r="M119" s="192" t="s">
        <v>13</v>
      </c>
      <c r="N119" s="6" t="s">
        <v>172</v>
      </c>
      <c r="O119" s="6" t="s">
        <v>161</v>
      </c>
    </row>
    <row r="120" spans="1:17" ht="15.75">
      <c r="A120" s="7" t="s">
        <v>28</v>
      </c>
      <c r="D120" s="171"/>
      <c r="E120" s="171"/>
      <c r="H120" s="171"/>
      <c r="K120" s="171"/>
      <c r="L120" s="171"/>
      <c r="M120" s="171"/>
    </row>
    <row r="121" spans="1:17">
      <c r="K121" s="171"/>
      <c r="L121" s="171"/>
      <c r="M121" s="171"/>
    </row>
    <row r="122" spans="1:17" ht="15.75">
      <c r="B122" s="8" t="str">
        <f t="shared" ref="B122:D133" si="35">B100</f>
        <v>December</v>
      </c>
      <c r="C122">
        <f t="shared" si="35"/>
        <v>2014</v>
      </c>
      <c r="D122" s="193">
        <f t="shared" si="35"/>
        <v>931.3900000000001</v>
      </c>
      <c r="E122" s="194">
        <f t="shared" ref="E122:E132" si="36">+D122/$D$134</f>
        <v>0.20346688220901782</v>
      </c>
      <c r="G122" s="140">
        <f t="shared" ref="G122:G132" si="37">+E122*$G$134</f>
        <v>2441.288839020247</v>
      </c>
      <c r="H122" s="196">
        <f>H133</f>
        <v>768.71428571428567</v>
      </c>
      <c r="I122" s="11">
        <f t="shared" ref="I122:I132" si="38">+G122+H122</f>
        <v>3210.0031247345328</v>
      </c>
      <c r="K122" s="213">
        <v>7</v>
      </c>
      <c r="L122" s="171"/>
      <c r="M122" s="1">
        <f t="shared" ref="M122:M132" si="39">+K122*I122</f>
        <v>22470.02187314173</v>
      </c>
      <c r="N122" s="197">
        <v>1.0244448203198229</v>
      </c>
      <c r="O122" s="140">
        <f>+M122/N122</f>
        <v>21933.852782941285</v>
      </c>
    </row>
    <row r="123" spans="1:17" ht="15.75">
      <c r="B123" s="8" t="str">
        <f t="shared" si="35"/>
        <v>January</v>
      </c>
      <c r="C123">
        <f t="shared" si="35"/>
        <v>2015</v>
      </c>
      <c r="D123" s="193">
        <f t="shared" si="35"/>
        <v>1002.7500000000002</v>
      </c>
      <c r="E123" s="194">
        <f t="shared" si="36"/>
        <v>0.21905583711988819</v>
      </c>
      <c r="G123" s="140">
        <f t="shared" si="37"/>
        <v>2628.3322596630337</v>
      </c>
      <c r="H123" s="196">
        <f t="shared" ref="H123:H132" si="40">H122</f>
        <v>768.71428571428567</v>
      </c>
      <c r="I123" s="11">
        <f t="shared" si="38"/>
        <v>3397.0465453773195</v>
      </c>
      <c r="K123" s="213">
        <v>7</v>
      </c>
      <c r="L123" s="171"/>
      <c r="M123" s="1">
        <f t="shared" si="39"/>
        <v>23779.325817641235</v>
      </c>
      <c r="N123" s="197">
        <v>1.0256012456649444</v>
      </c>
      <c r="O123" s="140">
        <f t="shared" ref="O123:O133" si="41">+M123/N123</f>
        <v>23185.741942253597</v>
      </c>
    </row>
    <row r="124" spans="1:17" ht="15.75">
      <c r="B124" s="8" t="str">
        <f t="shared" si="35"/>
        <v>February</v>
      </c>
      <c r="C124">
        <f t="shared" si="35"/>
        <v>2015</v>
      </c>
      <c r="D124" s="193">
        <f t="shared" si="35"/>
        <v>780</v>
      </c>
      <c r="E124" s="194">
        <f t="shared" si="36"/>
        <v>0.17039496679482696</v>
      </c>
      <c r="G124" s="140">
        <f t="shared" si="37"/>
        <v>2044.4768511963757</v>
      </c>
      <c r="H124" s="196">
        <f t="shared" si="40"/>
        <v>768.71428571428567</v>
      </c>
      <c r="I124" s="11">
        <f t="shared" si="38"/>
        <v>2813.1911369106615</v>
      </c>
      <c r="K124" s="213">
        <v>7</v>
      </c>
      <c r="L124" s="171"/>
      <c r="M124" s="1">
        <f t="shared" si="39"/>
        <v>19692.337958374632</v>
      </c>
      <c r="N124" s="197">
        <v>1.0231174827853895</v>
      </c>
      <c r="O124" s="140">
        <f t="shared" si="41"/>
        <v>19247.386824788842</v>
      </c>
    </row>
    <row r="125" spans="1:17" ht="15.75">
      <c r="B125" s="8" t="str">
        <f t="shared" si="35"/>
        <v>March</v>
      </c>
      <c r="C125">
        <f t="shared" si="35"/>
        <v>2015</v>
      </c>
      <c r="D125" s="193">
        <f t="shared" si="35"/>
        <v>581.33000000000004</v>
      </c>
      <c r="E125" s="194">
        <f t="shared" si="36"/>
        <v>0.12699449493184201</v>
      </c>
      <c r="G125" s="140">
        <f t="shared" si="37"/>
        <v>1523.738112699986</v>
      </c>
      <c r="H125" s="196">
        <f t="shared" si="40"/>
        <v>768.71428571428567</v>
      </c>
      <c r="I125" s="11">
        <f t="shared" si="38"/>
        <v>2292.4523984142716</v>
      </c>
      <c r="K125" s="213">
        <v>7</v>
      </c>
      <c r="L125" s="171"/>
      <c r="M125" s="1">
        <f t="shared" si="39"/>
        <v>16047.1667888999</v>
      </c>
      <c r="N125" s="197">
        <v>1.0205247514095761</v>
      </c>
      <c r="O125" s="140">
        <f t="shared" si="41"/>
        <v>15724.426837012159</v>
      </c>
    </row>
    <row r="126" spans="1:17" ht="15.75">
      <c r="B126" s="8" t="str">
        <f t="shared" si="35"/>
        <v>April</v>
      </c>
      <c r="C126">
        <f t="shared" si="35"/>
        <v>2015</v>
      </c>
      <c r="D126" s="193">
        <f t="shared" si="35"/>
        <v>299.73</v>
      </c>
      <c r="E126" s="194">
        <f t="shared" si="36"/>
        <v>6.5477542817196782E-2</v>
      </c>
      <c r="G126" s="140">
        <f t="shared" si="37"/>
        <v>785.62954693473046</v>
      </c>
      <c r="H126" s="196">
        <f t="shared" si="40"/>
        <v>768.71428571428567</v>
      </c>
      <c r="I126" s="11">
        <f t="shared" si="38"/>
        <v>1554.3438326490161</v>
      </c>
      <c r="K126" s="213">
        <v>7</v>
      </c>
      <c r="L126" s="171"/>
      <c r="M126" s="1">
        <f t="shared" si="39"/>
        <v>10880.406828543113</v>
      </c>
      <c r="N126" s="197">
        <v>1.0207034031040865</v>
      </c>
      <c r="O126" s="140">
        <f t="shared" si="41"/>
        <v>10659.714463040329</v>
      </c>
    </row>
    <row r="127" spans="1:17" ht="15.75">
      <c r="B127" s="8" t="str">
        <f t="shared" si="35"/>
        <v>May</v>
      </c>
      <c r="C127">
        <f t="shared" si="35"/>
        <v>2015</v>
      </c>
      <c r="D127" s="193">
        <f t="shared" si="35"/>
        <v>94.539999999999978</v>
      </c>
      <c r="E127" s="194">
        <f t="shared" si="36"/>
        <v>2.0652743795875561E-2</v>
      </c>
      <c r="G127" s="140">
        <f t="shared" si="37"/>
        <v>247.80107886167349</v>
      </c>
      <c r="H127" s="196">
        <f t="shared" si="40"/>
        <v>768.71428571428567</v>
      </c>
      <c r="I127" s="11">
        <f t="shared" si="38"/>
        <v>1016.5153645759592</v>
      </c>
      <c r="K127" s="213">
        <v>7</v>
      </c>
      <c r="L127" s="171"/>
      <c r="M127" s="1">
        <f t="shared" si="39"/>
        <v>7115.6075520317145</v>
      </c>
      <c r="N127" s="197">
        <v>1.0216183124324427</v>
      </c>
      <c r="O127" s="140">
        <f t="shared" si="41"/>
        <v>6965.035244023441</v>
      </c>
    </row>
    <row r="128" spans="1:17" ht="15.75">
      <c r="B128" s="8" t="str">
        <f t="shared" si="35"/>
        <v>June</v>
      </c>
      <c r="C128">
        <f t="shared" si="35"/>
        <v>2015</v>
      </c>
      <c r="D128" s="193">
        <f t="shared" si="35"/>
        <v>9.1899999999999977</v>
      </c>
      <c r="E128" s="194">
        <f t="shared" si="36"/>
        <v>2.0076022369800764E-3</v>
      </c>
      <c r="G128" s="140">
        <f t="shared" si="37"/>
        <v>24.088131105762425</v>
      </c>
      <c r="H128" s="196">
        <f t="shared" si="40"/>
        <v>768.71428571428567</v>
      </c>
      <c r="I128" s="11">
        <f t="shared" si="38"/>
        <v>792.80241682004805</v>
      </c>
      <c r="K128" s="213">
        <v>7</v>
      </c>
      <c r="L128" s="171"/>
      <c r="M128" s="1">
        <f t="shared" si="39"/>
        <v>5549.6169177403362</v>
      </c>
      <c r="N128" s="197">
        <v>1.0223371761777924</v>
      </c>
      <c r="O128" s="140">
        <f t="shared" si="41"/>
        <v>5428.3626254193996</v>
      </c>
    </row>
    <row r="129" spans="1:15" ht="15.75">
      <c r="B129" s="8" t="str">
        <f t="shared" si="35"/>
        <v>July</v>
      </c>
      <c r="C129">
        <f t="shared" si="35"/>
        <v>2015</v>
      </c>
      <c r="D129" s="193">
        <f t="shared" si="35"/>
        <v>0.46000000000000019</v>
      </c>
      <c r="E129" s="194">
        <f t="shared" si="36"/>
        <v>1.0048933939182108E-4</v>
      </c>
      <c r="G129" s="140">
        <f t="shared" si="37"/>
        <v>1.2057171173722221</v>
      </c>
      <c r="H129" s="196">
        <f t="shared" si="40"/>
        <v>768.71428571428567</v>
      </c>
      <c r="I129" s="11">
        <f t="shared" si="38"/>
        <v>769.92000283165794</v>
      </c>
      <c r="K129" s="213">
        <v>7</v>
      </c>
      <c r="L129" s="171"/>
      <c r="M129" s="1">
        <f t="shared" si="39"/>
        <v>5389.4400198216053</v>
      </c>
      <c r="N129" s="197">
        <v>1.0164747684600897</v>
      </c>
      <c r="O129" s="140">
        <f t="shared" si="41"/>
        <v>5302.089325823943</v>
      </c>
    </row>
    <row r="130" spans="1:15" ht="15.75">
      <c r="B130" s="8" t="str">
        <f t="shared" si="35"/>
        <v>August</v>
      </c>
      <c r="C130">
        <f t="shared" si="35"/>
        <v>2015</v>
      </c>
      <c r="D130" s="193">
        <f t="shared" si="35"/>
        <v>1.6199999999999999</v>
      </c>
      <c r="E130" s="194">
        <f t="shared" si="36"/>
        <v>3.5389723872771754E-4</v>
      </c>
      <c r="G130" s="140">
        <f t="shared" si="37"/>
        <v>4.2462211524847806</v>
      </c>
      <c r="H130" s="196">
        <f t="shared" si="40"/>
        <v>768.71428571428567</v>
      </c>
      <c r="I130" s="11">
        <f t="shared" si="38"/>
        <v>772.9605068667704</v>
      </c>
      <c r="K130" s="213">
        <v>7</v>
      </c>
      <c r="L130" s="171"/>
      <c r="M130" s="1">
        <f t="shared" si="39"/>
        <v>5410.7235480673926</v>
      </c>
      <c r="N130" s="197">
        <v>1.0155902692022722</v>
      </c>
      <c r="O130" s="140">
        <f t="shared" si="41"/>
        <v>5327.6638346657437</v>
      </c>
    </row>
    <row r="131" spans="1:15" ht="15.75">
      <c r="B131" s="8" t="str">
        <f t="shared" si="35"/>
        <v>September</v>
      </c>
      <c r="C131">
        <f t="shared" si="35"/>
        <v>2015</v>
      </c>
      <c r="D131" s="193">
        <f t="shared" si="35"/>
        <v>53.36</v>
      </c>
      <c r="E131" s="194">
        <f t="shared" si="36"/>
        <v>1.1656763369451239E-2</v>
      </c>
      <c r="G131" s="140">
        <f t="shared" si="37"/>
        <v>139.86318561517768</v>
      </c>
      <c r="H131" s="196">
        <f t="shared" si="40"/>
        <v>768.71428571428567</v>
      </c>
      <c r="I131" s="11">
        <f t="shared" si="38"/>
        <v>908.57747132946338</v>
      </c>
      <c r="K131" s="213">
        <v>7</v>
      </c>
      <c r="L131" s="171"/>
      <c r="M131" s="1">
        <f t="shared" si="39"/>
        <v>6360.0422993062439</v>
      </c>
      <c r="N131" s="197">
        <v>1.0149825566907551</v>
      </c>
      <c r="O131" s="140">
        <f t="shared" si="41"/>
        <v>6266.1592136543695</v>
      </c>
    </row>
    <row r="132" spans="1:15" ht="15.75">
      <c r="B132" s="8" t="str">
        <f t="shared" si="35"/>
        <v>October</v>
      </c>
      <c r="C132">
        <f t="shared" si="35"/>
        <v>2015</v>
      </c>
      <c r="D132" s="193">
        <f t="shared" si="35"/>
        <v>252.62999999999997</v>
      </c>
      <c r="E132" s="199">
        <f t="shared" si="36"/>
        <v>5.5188308283816837E-2</v>
      </c>
      <c r="F132" s="200"/>
      <c r="G132" s="216">
        <f t="shared" si="37"/>
        <v>662.17459861248767</v>
      </c>
      <c r="H132" s="202">
        <f t="shared" si="40"/>
        <v>768.71428571428567</v>
      </c>
      <c r="I132" s="203">
        <f t="shared" si="38"/>
        <v>1430.8888843267732</v>
      </c>
      <c r="J132" s="200"/>
      <c r="K132" s="213">
        <v>7</v>
      </c>
      <c r="L132" s="204"/>
      <c r="M132" s="2">
        <f t="shared" si="39"/>
        <v>10016.222190287412</v>
      </c>
      <c r="N132" s="197">
        <v>1.0218211251856673</v>
      </c>
      <c r="O132" s="140">
        <f t="shared" si="41"/>
        <v>9802.3244415380832</v>
      </c>
    </row>
    <row r="133" spans="1:15" ht="16.5" thickBot="1">
      <c r="B133" s="8" t="str">
        <f t="shared" si="35"/>
        <v>November</v>
      </c>
      <c r="C133">
        <f t="shared" si="35"/>
        <v>2015</v>
      </c>
      <c r="D133" s="193">
        <f t="shared" si="35"/>
        <v>570.6</v>
      </c>
      <c r="E133" s="194">
        <f>+D133/$D$134</f>
        <v>0.12465047186298496</v>
      </c>
      <c r="G133" s="140">
        <f>+E133*$G$134</f>
        <v>1495.6134503751948</v>
      </c>
      <c r="H133" s="196">
        <f>+'[1]annual customer usage-Rogersvil'!K32</f>
        <v>768.71428571428567</v>
      </c>
      <c r="I133" s="11">
        <f>+G133+H133</f>
        <v>2264.3277360894804</v>
      </c>
      <c r="K133" s="213">
        <v>7</v>
      </c>
      <c r="L133" s="171"/>
      <c r="M133" s="1">
        <f>+K133*I133</f>
        <v>15850.294152626362</v>
      </c>
      <c r="N133" s="197">
        <v>1.0192837328860593</v>
      </c>
      <c r="O133" s="140">
        <f t="shared" si="41"/>
        <v>15550.423931270752</v>
      </c>
    </row>
    <row r="134" spans="1:15" ht="15.75" thickBot="1">
      <c r="D134" s="137">
        <f>SUM(D122:D133)</f>
        <v>4577.6000000000004</v>
      </c>
      <c r="E134" s="132">
        <f>SUM(E122:E133)</f>
        <v>0.99999999999999978</v>
      </c>
      <c r="G134" s="217">
        <f>+'[1]annual customer usage-Rogersvil'!I17</f>
        <v>11998.457992354526</v>
      </c>
      <c r="H134" s="212">
        <f>SUM(H122:H133)</f>
        <v>9224.5714285714275</v>
      </c>
      <c r="I134" s="207">
        <f>SUM(I122:I133)</f>
        <v>21223.029420925952</v>
      </c>
      <c r="K134" s="10">
        <f>AVERAGE(K122:K133)</f>
        <v>7</v>
      </c>
      <c r="M134" s="209">
        <f>SUM(M122:M133)</f>
        <v>148561.20594648164</v>
      </c>
      <c r="O134" s="209">
        <f>SUM(O122:O133)</f>
        <v>145393.18146643194</v>
      </c>
    </row>
    <row r="135" spans="1:15" ht="15.75" thickTop="1">
      <c r="D135" s="171"/>
      <c r="E135" s="171"/>
      <c r="G135" s="140">
        <f>SUM(G122:G133)</f>
        <v>11998.457992354526</v>
      </c>
      <c r="K135" s="5" t="s">
        <v>27</v>
      </c>
    </row>
    <row r="136" spans="1:15">
      <c r="D136" s="171"/>
      <c r="E136" s="171"/>
      <c r="G136" s="195"/>
      <c r="K136" s="5"/>
    </row>
    <row r="137" spans="1:15">
      <c r="A137" s="141" t="s">
        <v>155</v>
      </c>
      <c r="B137" s="336" t="s">
        <v>151</v>
      </c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</row>
    <row r="138" spans="1:15">
      <c r="A138" s="55"/>
      <c r="B138" s="218" t="s">
        <v>235</v>
      </c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</row>
    <row r="139" spans="1:15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</row>
    <row r="140" spans="1:15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</row>
    <row r="141" spans="1:15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</row>
    <row r="443" spans="30:41">
      <c r="AD443" s="140"/>
      <c r="AE443" s="140"/>
      <c r="AF443" s="140"/>
      <c r="AG443" s="140"/>
      <c r="AH443" s="140"/>
      <c r="AI443" s="140"/>
      <c r="AJ443" s="140"/>
      <c r="AK443" s="140"/>
      <c r="AL443" s="140"/>
      <c r="AM443" s="140"/>
      <c r="AN443" s="140"/>
      <c r="AO443" s="140"/>
    </row>
    <row r="444" spans="30:41">
      <c r="AD444" s="140"/>
      <c r="AE444" s="140"/>
      <c r="AF444" s="140"/>
      <c r="AG444" s="140"/>
      <c r="AH444" s="140"/>
      <c r="AI444" s="140"/>
      <c r="AJ444" s="140"/>
      <c r="AK444" s="140"/>
      <c r="AL444" s="140"/>
      <c r="AM444" s="140"/>
      <c r="AN444" s="140"/>
      <c r="AO444" s="140"/>
    </row>
    <row r="445" spans="30:41">
      <c r="AD445" s="140"/>
      <c r="AE445" s="140"/>
      <c r="AF445" s="140"/>
      <c r="AG445" s="140"/>
      <c r="AH445" s="140"/>
      <c r="AI445" s="140"/>
      <c r="AJ445" s="140"/>
      <c r="AK445" s="140"/>
      <c r="AL445" s="140"/>
      <c r="AM445" s="140"/>
      <c r="AN445" s="140"/>
      <c r="AO445" s="140"/>
    </row>
    <row r="446" spans="30:41">
      <c r="AD446" s="140"/>
      <c r="AE446" s="140"/>
      <c r="AF446" s="140"/>
      <c r="AG446" s="140"/>
      <c r="AH446" s="140"/>
      <c r="AI446" s="140"/>
      <c r="AJ446" s="140"/>
      <c r="AK446" s="140"/>
      <c r="AL446" s="140"/>
      <c r="AM446" s="140"/>
      <c r="AN446" s="140"/>
      <c r="AO446" s="140"/>
    </row>
    <row r="447" spans="30:41">
      <c r="AD447" s="140"/>
      <c r="AE447" s="140"/>
      <c r="AF447" s="140"/>
      <c r="AG447" s="140"/>
      <c r="AH447" s="140"/>
      <c r="AI447" s="140"/>
      <c r="AJ447" s="140"/>
      <c r="AK447" s="140"/>
      <c r="AL447" s="140"/>
      <c r="AM447" s="140"/>
      <c r="AN447" s="140"/>
      <c r="AO447" s="140"/>
    </row>
    <row r="448" spans="30:41">
      <c r="AD448" s="140"/>
      <c r="AE448" s="140"/>
      <c r="AF448" s="140"/>
      <c r="AG448" s="140"/>
      <c r="AH448" s="140"/>
      <c r="AI448" s="140"/>
      <c r="AJ448" s="140"/>
      <c r="AK448" s="140"/>
      <c r="AL448" s="140"/>
      <c r="AM448" s="140"/>
      <c r="AN448" s="140"/>
      <c r="AO448" s="140"/>
    </row>
    <row r="449" spans="30:41">
      <c r="AD449" s="140"/>
      <c r="AE449" s="140"/>
      <c r="AF449" s="140"/>
      <c r="AG449" s="140"/>
      <c r="AH449" s="140"/>
      <c r="AI449" s="140"/>
      <c r="AJ449" s="140"/>
      <c r="AK449" s="140"/>
      <c r="AL449" s="140"/>
      <c r="AM449" s="140"/>
      <c r="AN449" s="140"/>
      <c r="AO449" s="140"/>
    </row>
    <row r="450" spans="30:41">
      <c r="AD450" s="140"/>
      <c r="AE450" s="140"/>
      <c r="AF450" s="140"/>
      <c r="AG450" s="140"/>
      <c r="AH450" s="140"/>
      <c r="AI450" s="140"/>
      <c r="AJ450" s="140"/>
      <c r="AK450" s="140"/>
      <c r="AL450" s="140"/>
      <c r="AM450" s="140"/>
      <c r="AN450" s="140"/>
      <c r="AO450" s="140"/>
    </row>
    <row r="451" spans="30:41">
      <c r="AD451" s="140"/>
      <c r="AE451" s="140"/>
      <c r="AF451" s="140"/>
      <c r="AG451" s="140"/>
      <c r="AH451" s="140"/>
      <c r="AI451" s="140"/>
      <c r="AJ451" s="140"/>
      <c r="AK451" s="140"/>
      <c r="AL451" s="140"/>
      <c r="AM451" s="140"/>
      <c r="AN451" s="140"/>
      <c r="AO451" s="140"/>
    </row>
    <row r="452" spans="30:41">
      <c r="AD452" s="140"/>
      <c r="AE452" s="140"/>
      <c r="AF452" s="140"/>
      <c r="AG452" s="140"/>
      <c r="AH452" s="140"/>
      <c r="AI452" s="140"/>
      <c r="AJ452" s="140"/>
      <c r="AK452" s="140"/>
      <c r="AL452" s="140"/>
      <c r="AM452" s="140"/>
      <c r="AN452" s="140"/>
      <c r="AO452" s="140"/>
    </row>
    <row r="453" spans="30:41">
      <c r="AD453" s="140"/>
      <c r="AE453" s="140"/>
      <c r="AF453" s="140"/>
      <c r="AG453" s="140"/>
      <c r="AH453" s="140"/>
      <c r="AI453" s="140"/>
      <c r="AJ453" s="140"/>
      <c r="AK453" s="140"/>
      <c r="AL453" s="140"/>
      <c r="AM453" s="140"/>
      <c r="AN453" s="140"/>
      <c r="AO453" s="140"/>
    </row>
    <row r="454" spans="30:41">
      <c r="AD454" s="140"/>
      <c r="AE454" s="140"/>
      <c r="AF454" s="140"/>
      <c r="AG454" s="140"/>
      <c r="AH454" s="140"/>
      <c r="AI454" s="140"/>
      <c r="AJ454" s="140"/>
      <c r="AK454" s="140"/>
      <c r="AL454" s="140"/>
      <c r="AM454" s="140"/>
      <c r="AN454" s="140"/>
      <c r="AO454" s="140"/>
    </row>
    <row r="455" spans="30:41">
      <c r="AD455" s="140"/>
      <c r="AE455" s="140"/>
      <c r="AF455" s="140"/>
      <c r="AG455" s="140"/>
      <c r="AH455" s="140"/>
      <c r="AI455" s="140"/>
      <c r="AJ455" s="140"/>
      <c r="AK455" s="140"/>
      <c r="AL455" s="140"/>
      <c r="AM455" s="140"/>
      <c r="AN455" s="140"/>
      <c r="AO455" s="140"/>
    </row>
    <row r="456" spans="30:41">
      <c r="AD456" s="140"/>
      <c r="AE456" s="140"/>
      <c r="AF456" s="140"/>
      <c r="AG456" s="140"/>
      <c r="AH456" s="140"/>
      <c r="AI456" s="140"/>
      <c r="AJ456" s="140"/>
      <c r="AK456" s="140"/>
      <c r="AL456" s="140"/>
      <c r="AM456" s="140"/>
      <c r="AN456" s="140"/>
      <c r="AO456" s="140"/>
    </row>
    <row r="457" spans="30:41">
      <c r="AD457" s="140"/>
      <c r="AE457" s="140"/>
      <c r="AF457" s="140"/>
      <c r="AG457" s="140"/>
      <c r="AH457" s="140"/>
      <c r="AI457" s="140"/>
      <c r="AJ457" s="140"/>
      <c r="AK457" s="140"/>
      <c r="AL457" s="140"/>
      <c r="AM457" s="140"/>
      <c r="AN457" s="140"/>
      <c r="AO457" s="140"/>
    </row>
    <row r="458" spans="30:41">
      <c r="AD458" s="140"/>
      <c r="AE458" s="140"/>
      <c r="AF458" s="140"/>
      <c r="AG458" s="140"/>
      <c r="AH458" s="140"/>
      <c r="AI458" s="140"/>
      <c r="AJ458" s="140"/>
      <c r="AK458" s="140"/>
      <c r="AL458" s="140"/>
      <c r="AM458" s="140"/>
      <c r="AN458" s="140"/>
      <c r="AO458" s="140"/>
    </row>
    <row r="459" spans="30:41">
      <c r="AD459" s="140"/>
      <c r="AE459" s="140"/>
      <c r="AF459" s="140"/>
      <c r="AG459" s="140"/>
      <c r="AH459" s="140"/>
      <c r="AI459" s="140"/>
      <c r="AJ459" s="140"/>
      <c r="AK459" s="140"/>
      <c r="AL459" s="140"/>
      <c r="AM459" s="140"/>
      <c r="AN459" s="140"/>
      <c r="AO459" s="140"/>
    </row>
    <row r="460" spans="30:41">
      <c r="AD460" s="140"/>
      <c r="AE460" s="140"/>
      <c r="AF460" s="140"/>
      <c r="AG460" s="140"/>
      <c r="AH460" s="140"/>
      <c r="AI460" s="140"/>
      <c r="AJ460" s="140"/>
      <c r="AK460" s="140"/>
      <c r="AL460" s="140"/>
      <c r="AM460" s="140"/>
      <c r="AN460" s="140"/>
      <c r="AO460" s="140"/>
    </row>
    <row r="461" spans="30:41">
      <c r="AD461" s="140"/>
      <c r="AE461" s="140"/>
      <c r="AF461" s="140"/>
      <c r="AG461" s="140"/>
      <c r="AH461" s="140"/>
      <c r="AI461" s="140"/>
      <c r="AJ461" s="140"/>
      <c r="AK461" s="140"/>
      <c r="AL461" s="140"/>
      <c r="AM461" s="140"/>
      <c r="AN461" s="140"/>
      <c r="AO461" s="140"/>
    </row>
    <row r="462" spans="30:41">
      <c r="AD462" s="140"/>
      <c r="AE462" s="140"/>
      <c r="AF462" s="140"/>
      <c r="AG462" s="140"/>
      <c r="AH462" s="140"/>
      <c r="AI462" s="140"/>
      <c r="AJ462" s="140"/>
      <c r="AK462" s="140"/>
      <c r="AL462" s="140"/>
      <c r="AM462" s="140"/>
      <c r="AN462" s="140"/>
      <c r="AO462" s="140"/>
    </row>
    <row r="463" spans="30:41">
      <c r="AD463" s="140"/>
      <c r="AE463" s="140"/>
      <c r="AF463" s="140"/>
      <c r="AG463" s="140"/>
      <c r="AH463" s="140"/>
      <c r="AI463" s="140"/>
      <c r="AJ463" s="140"/>
      <c r="AK463" s="140"/>
      <c r="AL463" s="140"/>
      <c r="AM463" s="140"/>
      <c r="AN463" s="140"/>
      <c r="AO463" s="140"/>
    </row>
    <row r="464" spans="30:41">
      <c r="AD464" s="140"/>
      <c r="AE464" s="140"/>
      <c r="AF464" s="140"/>
      <c r="AG464" s="140"/>
      <c r="AH464" s="140"/>
      <c r="AI464" s="140"/>
      <c r="AJ464" s="140"/>
      <c r="AK464" s="140"/>
      <c r="AL464" s="140"/>
      <c r="AM464" s="140"/>
      <c r="AN464" s="140"/>
      <c r="AO464" s="140"/>
    </row>
    <row r="465" spans="30:47">
      <c r="AD465" s="140"/>
      <c r="AE465" s="140"/>
      <c r="AF465" s="140"/>
      <c r="AG465" s="140"/>
      <c r="AH465" s="140"/>
      <c r="AI465" s="140"/>
      <c r="AJ465" s="140"/>
      <c r="AK465" s="140"/>
      <c r="AL465" s="140"/>
      <c r="AM465" s="140"/>
      <c r="AN465" s="140"/>
      <c r="AO465" s="140"/>
    </row>
    <row r="466" spans="30:47">
      <c r="AD466" s="140"/>
      <c r="AE466" s="140"/>
      <c r="AF466" s="140"/>
      <c r="AG466" s="140"/>
      <c r="AH466" s="140"/>
      <c r="AI466" s="140"/>
      <c r="AJ466" s="140"/>
      <c r="AK466" s="140"/>
      <c r="AL466" s="140"/>
      <c r="AM466" s="140"/>
      <c r="AN466" s="140"/>
      <c r="AO466" s="140"/>
    </row>
    <row r="467" spans="30:47">
      <c r="AD467" s="140"/>
      <c r="AE467" s="140"/>
      <c r="AF467" s="140"/>
      <c r="AG467" s="140"/>
      <c r="AH467" s="140"/>
      <c r="AI467" s="140"/>
      <c r="AJ467" s="140"/>
      <c r="AK467" s="140"/>
      <c r="AL467" s="140"/>
      <c r="AM467" s="140"/>
      <c r="AN467" s="140"/>
      <c r="AO467" s="140"/>
    </row>
    <row r="468" spans="30:47">
      <c r="AD468" s="140"/>
      <c r="AE468" s="140"/>
      <c r="AF468" s="140"/>
      <c r="AG468" s="140"/>
      <c r="AH468" s="140"/>
      <c r="AI468" s="140"/>
      <c r="AJ468" s="140"/>
      <c r="AK468" s="140"/>
      <c r="AL468" s="140"/>
      <c r="AM468" s="140"/>
      <c r="AN468" s="140"/>
      <c r="AO468" s="140"/>
    </row>
    <row r="469" spans="30:47">
      <c r="AD469" s="140"/>
      <c r="AE469" s="140"/>
      <c r="AF469" s="140"/>
      <c r="AG469" s="140"/>
      <c r="AH469" s="140"/>
      <c r="AI469" s="140"/>
      <c r="AJ469" s="140"/>
      <c r="AK469" s="140"/>
      <c r="AL469" s="140"/>
      <c r="AM469" s="140"/>
      <c r="AN469" s="140"/>
      <c r="AO469" s="140"/>
    </row>
    <row r="470" spans="30:47">
      <c r="AD470" s="140"/>
      <c r="AE470" s="140"/>
      <c r="AF470" s="140"/>
      <c r="AG470" s="140"/>
      <c r="AH470" s="140"/>
      <c r="AI470" s="140"/>
      <c r="AJ470" s="140"/>
      <c r="AK470" s="140"/>
      <c r="AL470" s="140"/>
      <c r="AM470" s="140"/>
      <c r="AN470" s="140"/>
      <c r="AO470" s="140"/>
    </row>
    <row r="471" spans="30:47">
      <c r="AD471" s="140"/>
      <c r="AE471" s="140"/>
      <c r="AF471" s="140"/>
      <c r="AG471" s="140"/>
      <c r="AH471" s="140"/>
      <c r="AI471" s="140"/>
      <c r="AJ471" s="140"/>
      <c r="AK471" s="140"/>
      <c r="AL471" s="140"/>
      <c r="AM471" s="140"/>
      <c r="AN471" s="140"/>
      <c r="AO471" s="140"/>
    </row>
    <row r="472" spans="30:47">
      <c r="AD472" s="140"/>
      <c r="AE472" s="140"/>
      <c r="AF472" s="140"/>
      <c r="AG472" s="140"/>
      <c r="AH472" s="140"/>
      <c r="AI472" s="140"/>
      <c r="AJ472" s="140"/>
      <c r="AK472" s="140"/>
      <c r="AL472" s="140"/>
      <c r="AM472" s="140"/>
      <c r="AN472" s="140"/>
      <c r="AO472" s="140"/>
    </row>
    <row r="473" spans="30:47">
      <c r="AD473" s="140"/>
      <c r="AE473" s="140"/>
      <c r="AF473" s="140"/>
      <c r="AG473" s="140"/>
      <c r="AH473" s="140"/>
      <c r="AI473" s="140"/>
      <c r="AJ473" s="140"/>
      <c r="AK473" s="140"/>
      <c r="AL473" s="140"/>
      <c r="AM473" s="140"/>
      <c r="AN473" s="140"/>
      <c r="AO473" s="140"/>
    </row>
    <row r="474" spans="30:47">
      <c r="AD474" s="140"/>
      <c r="AE474" s="140"/>
      <c r="AF474" s="140"/>
      <c r="AG474" s="140" t="e">
        <f>AVERAGE(AF444:AF474)</f>
        <v>#DIV/0!</v>
      </c>
      <c r="AH474" s="140"/>
      <c r="AI474" s="140"/>
      <c r="AJ474" s="140"/>
      <c r="AK474" s="140"/>
      <c r="AL474" s="140"/>
      <c r="AM474" s="140"/>
      <c r="AN474" s="140"/>
      <c r="AO474" s="140"/>
      <c r="AQ474" s="140"/>
      <c r="AR474" s="140" t="e">
        <v>#DIV/0!</v>
      </c>
      <c r="AS474" s="140"/>
      <c r="AT474" s="140"/>
      <c r="AU474" s="140"/>
    </row>
    <row r="475" spans="30:47">
      <c r="AD475" s="140"/>
      <c r="AE475" s="140"/>
      <c r="AF475" s="140"/>
      <c r="AG475" s="140"/>
      <c r="AH475" s="140"/>
      <c r="AI475" s="140"/>
      <c r="AJ475" s="140"/>
      <c r="AK475" s="140"/>
      <c r="AL475" s="140"/>
      <c r="AM475" s="140"/>
      <c r="AN475" s="140"/>
      <c r="AO475" s="140"/>
    </row>
    <row r="476" spans="30:47">
      <c r="AD476" s="140"/>
      <c r="AE476" s="140"/>
      <c r="AF476" s="140">
        <v>113</v>
      </c>
      <c r="AG476" s="140"/>
      <c r="AH476" s="140"/>
      <c r="AI476" s="140"/>
      <c r="AJ476" s="140"/>
      <c r="AK476" s="140"/>
      <c r="AL476" s="140"/>
      <c r="AM476" s="140"/>
      <c r="AN476" s="140"/>
      <c r="AO476" s="140"/>
    </row>
    <row r="477" spans="30:47">
      <c r="AD477" s="140"/>
      <c r="AE477" s="140"/>
      <c r="AF477" s="140">
        <v>113</v>
      </c>
      <c r="AG477" s="140"/>
      <c r="AH477" s="140"/>
      <c r="AI477" s="140"/>
      <c r="AJ477" s="140"/>
      <c r="AK477" s="140"/>
      <c r="AL477" s="140"/>
      <c r="AM477" s="140"/>
      <c r="AN477" s="140"/>
      <c r="AO477" s="140"/>
      <c r="AQ477" s="140"/>
      <c r="AR477" s="140" t="e">
        <v>#DIV/0!</v>
      </c>
      <c r="AS477" s="140"/>
      <c r="AT477" s="140"/>
      <c r="AU477" s="140"/>
    </row>
    <row r="478" spans="30:47">
      <c r="AD478" s="140"/>
      <c r="AE478" s="140"/>
      <c r="AF478" s="140"/>
      <c r="AG478" s="140"/>
      <c r="AH478" s="140"/>
      <c r="AI478" s="140"/>
      <c r="AJ478" s="140"/>
      <c r="AK478" s="140"/>
      <c r="AL478" s="140"/>
      <c r="AM478" s="140"/>
      <c r="AN478" s="140"/>
      <c r="AO478" s="140"/>
      <c r="AQ478" s="140"/>
      <c r="AR478" s="140"/>
      <c r="AS478" s="140"/>
      <c r="AT478" s="140"/>
      <c r="AU478" s="140"/>
    </row>
    <row r="479" spans="30:47">
      <c r="AD479" s="140"/>
      <c r="AE479" s="140"/>
      <c r="AF479" s="140"/>
      <c r="AG479" s="140"/>
      <c r="AH479" s="140"/>
      <c r="AI479" s="140"/>
      <c r="AJ479" s="140"/>
      <c r="AK479" s="140"/>
      <c r="AL479" s="140"/>
      <c r="AM479" s="140"/>
      <c r="AN479" s="140"/>
      <c r="AO479" s="140"/>
      <c r="AQ479" s="140"/>
      <c r="AR479" s="140"/>
      <c r="AS479" s="140"/>
      <c r="AT479" s="140"/>
      <c r="AU479" s="140"/>
    </row>
    <row r="480" spans="30:47">
      <c r="AD480" s="140"/>
      <c r="AE480" s="140"/>
      <c r="AF480" s="140"/>
      <c r="AG480" s="140"/>
      <c r="AH480" s="140"/>
      <c r="AI480" s="140"/>
      <c r="AJ480" s="140"/>
      <c r="AK480" s="140"/>
      <c r="AL480" s="140"/>
      <c r="AM480" s="140"/>
      <c r="AN480" s="140"/>
      <c r="AO480" s="140"/>
      <c r="AQ480" s="140"/>
      <c r="AR480" s="140"/>
      <c r="AS480" s="140"/>
      <c r="AT480" s="140"/>
      <c r="AU480" s="140"/>
    </row>
    <row r="481" spans="30:47">
      <c r="AD481" s="140"/>
      <c r="AE481" s="140"/>
      <c r="AF481" s="140"/>
      <c r="AG481" s="140"/>
      <c r="AH481" s="140"/>
      <c r="AI481" s="140"/>
      <c r="AJ481" s="140"/>
      <c r="AK481" s="140"/>
      <c r="AL481" s="140"/>
      <c r="AM481" s="140"/>
      <c r="AN481" s="140"/>
      <c r="AO481" s="140"/>
      <c r="AQ481" s="140"/>
      <c r="AR481" s="140"/>
      <c r="AS481" s="140"/>
      <c r="AT481" s="140"/>
      <c r="AU481" s="140"/>
    </row>
    <row r="482" spans="30:47">
      <c r="AD482" s="140"/>
      <c r="AE482" s="140"/>
      <c r="AF482" s="140"/>
      <c r="AG482" s="140"/>
      <c r="AH482" s="140"/>
      <c r="AI482" s="140"/>
      <c r="AJ482" s="140"/>
      <c r="AK482" s="140"/>
      <c r="AL482" s="140"/>
      <c r="AM482" s="140"/>
      <c r="AN482" s="140"/>
      <c r="AO482" s="140"/>
      <c r="AQ482" s="140"/>
      <c r="AR482" s="140"/>
      <c r="AS482" s="140"/>
      <c r="AT482" s="140"/>
      <c r="AU482" s="140"/>
    </row>
    <row r="483" spans="30:47">
      <c r="AD483" s="140"/>
      <c r="AE483" s="140"/>
      <c r="AF483" s="140"/>
      <c r="AG483" s="140"/>
      <c r="AH483" s="140"/>
      <c r="AI483" s="140"/>
      <c r="AJ483" s="140"/>
      <c r="AK483" s="140"/>
      <c r="AL483" s="140"/>
      <c r="AM483" s="140"/>
      <c r="AN483" s="140"/>
      <c r="AO483" s="140"/>
      <c r="AQ483" s="140"/>
      <c r="AR483" s="140"/>
      <c r="AS483" s="140"/>
      <c r="AT483" s="140"/>
      <c r="AU483" s="140"/>
    </row>
    <row r="484" spans="30:47">
      <c r="AD484" s="140"/>
      <c r="AE484" s="140"/>
      <c r="AF484" s="140"/>
      <c r="AG484" s="140"/>
      <c r="AH484" s="140"/>
      <c r="AI484" s="140"/>
      <c r="AJ484" s="140"/>
      <c r="AK484" s="140"/>
      <c r="AL484" s="140"/>
      <c r="AM484" s="140"/>
      <c r="AN484" s="140"/>
      <c r="AO484" s="140"/>
      <c r="AQ484" s="140"/>
      <c r="AR484" s="140"/>
      <c r="AS484" s="140"/>
      <c r="AT484" s="140"/>
      <c r="AU484" s="140"/>
    </row>
    <row r="485" spans="30:47">
      <c r="AD485" s="140"/>
      <c r="AE485" s="140"/>
      <c r="AF485" s="140"/>
      <c r="AG485" s="140"/>
      <c r="AH485" s="140"/>
      <c r="AI485" s="140"/>
      <c r="AJ485" s="140"/>
      <c r="AK485" s="140"/>
      <c r="AL485" s="140"/>
      <c r="AM485" s="140"/>
      <c r="AN485" s="140"/>
      <c r="AO485" s="140"/>
      <c r="AQ485" s="140"/>
      <c r="AR485" s="140"/>
      <c r="AS485" s="140"/>
      <c r="AT485" s="140"/>
      <c r="AU485" s="140"/>
    </row>
    <row r="486" spans="30:47">
      <c r="AD486" s="140"/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Q486" s="140"/>
      <c r="AR486" s="140"/>
      <c r="AS486" s="140"/>
      <c r="AT486" s="140"/>
      <c r="AU486" s="140"/>
    </row>
    <row r="487" spans="30:47">
      <c r="AD487" s="140"/>
      <c r="AE487" s="140"/>
      <c r="AF487" s="140"/>
      <c r="AG487" s="140"/>
      <c r="AH487" s="140"/>
      <c r="AI487" s="140"/>
      <c r="AJ487" s="140"/>
      <c r="AK487" s="140"/>
      <c r="AL487" s="140"/>
      <c r="AM487" s="140"/>
      <c r="AN487" s="140"/>
      <c r="AO487" s="140"/>
      <c r="AQ487" s="140"/>
      <c r="AR487" s="140"/>
      <c r="AS487" s="140"/>
      <c r="AT487" s="140"/>
      <c r="AU487" s="140"/>
    </row>
    <row r="488" spans="30:47">
      <c r="AD488" s="140"/>
      <c r="AE488" s="140"/>
      <c r="AF488" s="140"/>
      <c r="AG488" s="140"/>
      <c r="AH488" s="140"/>
      <c r="AI488" s="140"/>
      <c r="AJ488" s="140"/>
      <c r="AK488" s="140"/>
      <c r="AL488" s="140"/>
      <c r="AM488" s="140"/>
      <c r="AN488" s="140"/>
      <c r="AO488" s="140"/>
      <c r="AQ488" s="140"/>
      <c r="AR488" s="140"/>
      <c r="AS488" s="140"/>
      <c r="AT488" s="140"/>
      <c r="AU488" s="140"/>
    </row>
    <row r="489" spans="30:47">
      <c r="AD489" s="140"/>
      <c r="AE489" s="140"/>
      <c r="AF489" s="140"/>
      <c r="AG489" s="140"/>
      <c r="AH489" s="140"/>
      <c r="AI489" s="140"/>
      <c r="AJ489" s="140"/>
      <c r="AK489" s="140"/>
      <c r="AL489" s="140"/>
      <c r="AM489" s="140"/>
      <c r="AN489" s="140"/>
      <c r="AO489" s="140"/>
    </row>
    <row r="490" spans="30:47">
      <c r="AD490" s="140"/>
      <c r="AE490" s="140"/>
      <c r="AF490" s="140"/>
      <c r="AG490" s="140"/>
      <c r="AH490" s="140"/>
      <c r="AI490" s="140"/>
      <c r="AJ490" s="140"/>
      <c r="AK490" s="140"/>
      <c r="AL490" s="140"/>
      <c r="AM490" s="140"/>
      <c r="AN490" s="140"/>
      <c r="AO490" s="140"/>
    </row>
    <row r="491" spans="30:47">
      <c r="AD491" s="140"/>
      <c r="AE491" s="140"/>
      <c r="AF491" s="140"/>
      <c r="AG491" s="140"/>
      <c r="AH491" s="140"/>
      <c r="AI491" s="140"/>
      <c r="AJ491" s="140"/>
      <c r="AK491" s="140"/>
      <c r="AL491" s="140"/>
      <c r="AM491" s="140"/>
      <c r="AN491" s="140"/>
      <c r="AO491" s="140"/>
    </row>
    <row r="492" spans="30:47">
      <c r="AD492" s="140"/>
      <c r="AE492" s="140"/>
      <c r="AF492" s="140"/>
      <c r="AG492" s="140"/>
      <c r="AH492" s="140"/>
      <c r="AI492" s="140"/>
      <c r="AJ492" s="140"/>
      <c r="AK492" s="140"/>
      <c r="AL492" s="140"/>
      <c r="AM492" s="140"/>
      <c r="AN492" s="140"/>
      <c r="AO492" s="140"/>
    </row>
    <row r="493" spans="30:47">
      <c r="AD493" s="140"/>
      <c r="AE493" s="140"/>
      <c r="AF493" s="140"/>
      <c r="AG493" s="140"/>
      <c r="AH493" s="140"/>
      <c r="AI493" s="140"/>
      <c r="AJ493" s="140"/>
      <c r="AK493" s="140"/>
      <c r="AL493" s="140"/>
      <c r="AM493" s="140"/>
      <c r="AN493" s="140"/>
      <c r="AO493" s="140"/>
    </row>
    <row r="494" spans="30:47">
      <c r="AD494" s="140"/>
      <c r="AE494" s="140"/>
      <c r="AF494" s="140"/>
      <c r="AG494" s="140"/>
      <c r="AH494" s="140"/>
      <c r="AI494" s="140"/>
      <c r="AJ494" s="140"/>
      <c r="AK494" s="140"/>
      <c r="AL494" s="140"/>
      <c r="AM494" s="140"/>
      <c r="AN494" s="140"/>
      <c r="AO494" s="140"/>
    </row>
    <row r="495" spans="30:47"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</row>
    <row r="496" spans="30:47">
      <c r="AD496" s="140"/>
      <c r="AE496" s="140"/>
      <c r="AF496" s="140"/>
      <c r="AG496" s="140"/>
      <c r="AH496" s="140"/>
      <c r="AI496" s="140"/>
      <c r="AJ496" s="140"/>
      <c r="AK496" s="140"/>
      <c r="AL496" s="140"/>
      <c r="AM496" s="140"/>
      <c r="AN496" s="140"/>
      <c r="AO496" s="140"/>
    </row>
    <row r="497" spans="30:41">
      <c r="AD497" s="140"/>
      <c r="AE497" s="140"/>
      <c r="AF497" s="140"/>
      <c r="AG497" s="140"/>
      <c r="AH497" s="140"/>
      <c r="AI497" s="140"/>
      <c r="AJ497" s="140"/>
      <c r="AK497" s="140"/>
      <c r="AL497" s="140"/>
      <c r="AM497" s="140"/>
      <c r="AN497" s="140"/>
      <c r="AO497" s="140"/>
    </row>
    <row r="498" spans="30:41">
      <c r="AD498" s="140"/>
      <c r="AE498" s="140"/>
      <c r="AF498" s="140"/>
      <c r="AG498" s="140"/>
      <c r="AH498" s="140"/>
      <c r="AI498" s="140"/>
      <c r="AJ498" s="140"/>
      <c r="AK498" s="140"/>
      <c r="AL498" s="140"/>
      <c r="AM498" s="140"/>
      <c r="AN498" s="140"/>
      <c r="AO498" s="140"/>
    </row>
    <row r="499" spans="30:41">
      <c r="AD499" s="140"/>
      <c r="AE499" s="140"/>
      <c r="AF499" s="140"/>
      <c r="AG499" s="140"/>
      <c r="AH499" s="140"/>
      <c r="AI499" s="140"/>
      <c r="AJ499" s="140"/>
      <c r="AK499" s="140"/>
      <c r="AL499" s="140"/>
      <c r="AM499" s="140"/>
      <c r="AN499" s="140"/>
      <c r="AO499" s="140"/>
    </row>
    <row r="500" spans="30:41">
      <c r="AD500" s="140"/>
      <c r="AE500" s="140"/>
      <c r="AF500" s="140"/>
      <c r="AG500" s="140"/>
      <c r="AH500" s="140"/>
      <c r="AI500" s="140"/>
      <c r="AJ500" s="140"/>
      <c r="AK500" s="140"/>
      <c r="AL500" s="140"/>
      <c r="AM500" s="140"/>
      <c r="AN500" s="140"/>
      <c r="AO500" s="140"/>
    </row>
    <row r="501" spans="30:41">
      <c r="AD501" s="140"/>
      <c r="AE501" s="140"/>
      <c r="AF501" s="140"/>
      <c r="AG501" s="140"/>
      <c r="AH501" s="140"/>
      <c r="AI501" s="140"/>
      <c r="AJ501" s="140"/>
      <c r="AK501" s="140"/>
      <c r="AL501" s="140"/>
      <c r="AM501" s="140"/>
      <c r="AN501" s="140"/>
      <c r="AO501" s="140"/>
    </row>
    <row r="502" spans="30:41">
      <c r="AD502" s="140"/>
      <c r="AE502" s="140"/>
      <c r="AF502" s="140"/>
      <c r="AG502" s="140"/>
      <c r="AH502" s="140"/>
      <c r="AI502" s="140"/>
      <c r="AJ502" s="140"/>
      <c r="AK502" s="140"/>
      <c r="AL502" s="140"/>
      <c r="AM502" s="140"/>
      <c r="AN502" s="140"/>
      <c r="AO502" s="140"/>
    </row>
    <row r="503" spans="30:41">
      <c r="AD503" s="140"/>
      <c r="AE503" s="140"/>
      <c r="AF503" s="140"/>
      <c r="AG503" s="140"/>
      <c r="AH503" s="140"/>
      <c r="AI503" s="140"/>
      <c r="AJ503" s="140"/>
      <c r="AK503" s="140"/>
      <c r="AL503" s="140"/>
      <c r="AM503" s="140"/>
      <c r="AN503" s="140"/>
      <c r="AO503" s="140"/>
    </row>
    <row r="504" spans="30:41">
      <c r="AD504" s="140"/>
      <c r="AE504" s="140"/>
      <c r="AF504" s="140"/>
      <c r="AG504" s="140"/>
      <c r="AH504" s="140"/>
      <c r="AI504" s="140"/>
      <c r="AJ504" s="140"/>
      <c r="AK504" s="140"/>
      <c r="AL504" s="140"/>
      <c r="AM504" s="140"/>
      <c r="AN504" s="140"/>
      <c r="AO504" s="140"/>
    </row>
    <row r="505" spans="30:41">
      <c r="AD505" s="140"/>
      <c r="AE505" s="140"/>
      <c r="AF505" s="140"/>
      <c r="AG505" s="140"/>
      <c r="AH505" s="140"/>
      <c r="AI505" s="140"/>
      <c r="AJ505" s="140"/>
      <c r="AK505" s="140"/>
      <c r="AL505" s="140"/>
      <c r="AM505" s="140"/>
      <c r="AN505" s="140"/>
      <c r="AO505" s="140"/>
    </row>
    <row r="506" spans="30:41">
      <c r="AD506" s="140"/>
      <c r="AE506" s="140"/>
      <c r="AF506" s="140"/>
      <c r="AG506" s="140"/>
      <c r="AH506" s="140"/>
      <c r="AI506" s="140"/>
      <c r="AJ506" s="140"/>
      <c r="AK506" s="140"/>
      <c r="AL506" s="140"/>
      <c r="AM506" s="140"/>
      <c r="AN506" s="140"/>
      <c r="AO506" s="140"/>
    </row>
    <row r="507" spans="30:41">
      <c r="AD507" s="140"/>
      <c r="AE507" s="140"/>
      <c r="AF507" s="140"/>
      <c r="AG507" s="140"/>
      <c r="AH507" s="140"/>
      <c r="AI507" s="140"/>
      <c r="AJ507" s="140"/>
      <c r="AK507" s="140"/>
      <c r="AL507" s="140"/>
      <c r="AM507" s="140"/>
      <c r="AN507" s="140"/>
      <c r="AO507" s="140"/>
    </row>
    <row r="508" spans="30:41">
      <c r="AD508" s="140"/>
      <c r="AE508" s="140"/>
      <c r="AF508" s="140"/>
      <c r="AG508" s="140"/>
      <c r="AH508" s="140"/>
      <c r="AI508" s="140"/>
      <c r="AJ508" s="140"/>
      <c r="AK508" s="140"/>
      <c r="AL508" s="140"/>
      <c r="AM508" s="140"/>
      <c r="AN508" s="140"/>
      <c r="AO508" s="140"/>
    </row>
    <row r="509" spans="30:41">
      <c r="AD509" s="140"/>
      <c r="AE509" s="140"/>
      <c r="AF509" s="140"/>
      <c r="AG509" s="140"/>
      <c r="AH509" s="140"/>
      <c r="AI509" s="140"/>
      <c r="AJ509" s="140"/>
      <c r="AK509" s="140"/>
      <c r="AL509" s="140"/>
      <c r="AM509" s="140"/>
      <c r="AN509" s="140"/>
      <c r="AO509" s="140"/>
    </row>
    <row r="510" spans="30:41">
      <c r="AD510" s="140"/>
      <c r="AE510" s="140"/>
      <c r="AF510" s="140"/>
      <c r="AG510" s="140"/>
      <c r="AH510" s="140"/>
      <c r="AI510" s="140"/>
      <c r="AJ510" s="140"/>
      <c r="AK510" s="140"/>
      <c r="AL510" s="140"/>
      <c r="AM510" s="140"/>
      <c r="AN510" s="140"/>
      <c r="AO510" s="140"/>
    </row>
    <row r="511" spans="30:41">
      <c r="AD511" s="140"/>
      <c r="AE511" s="140"/>
      <c r="AF511" s="140"/>
      <c r="AG511" s="140"/>
      <c r="AH511" s="140"/>
      <c r="AI511" s="140"/>
      <c r="AJ511" s="140"/>
      <c r="AK511" s="140"/>
      <c r="AL511" s="140"/>
      <c r="AM511" s="140"/>
      <c r="AN511" s="140"/>
      <c r="AO511" s="140"/>
    </row>
    <row r="512" spans="30:41">
      <c r="AD512" s="140"/>
      <c r="AE512" s="140"/>
      <c r="AF512" s="140"/>
      <c r="AG512" s="140"/>
      <c r="AH512" s="140"/>
      <c r="AI512" s="140"/>
      <c r="AJ512" s="140"/>
      <c r="AK512" s="140"/>
      <c r="AL512" s="140"/>
      <c r="AM512" s="140"/>
      <c r="AN512" s="140"/>
      <c r="AO512" s="140"/>
    </row>
    <row r="513" spans="30:41">
      <c r="AD513" s="140"/>
      <c r="AE513" s="140"/>
      <c r="AF513" s="140"/>
      <c r="AG513" s="140"/>
      <c r="AH513" s="140"/>
      <c r="AI513" s="140"/>
      <c r="AJ513" s="140"/>
      <c r="AK513" s="140"/>
      <c r="AL513" s="140"/>
      <c r="AM513" s="140"/>
      <c r="AN513" s="140"/>
      <c r="AO513" s="140"/>
    </row>
    <row r="514" spans="30:41">
      <c r="AD514" s="140"/>
      <c r="AE514" s="140"/>
      <c r="AF514" s="140"/>
      <c r="AG514" s="140"/>
      <c r="AH514" s="140"/>
      <c r="AI514" s="140"/>
      <c r="AJ514" s="140"/>
      <c r="AK514" s="140"/>
      <c r="AL514" s="140"/>
      <c r="AM514" s="140"/>
      <c r="AN514" s="140"/>
      <c r="AO514" s="140"/>
    </row>
    <row r="515" spans="30:41">
      <c r="AD515" s="140"/>
      <c r="AE515" s="140"/>
      <c r="AF515" s="140"/>
      <c r="AG515" s="140"/>
      <c r="AH515" s="140"/>
      <c r="AI515" s="140"/>
      <c r="AJ515" s="140"/>
      <c r="AK515" s="140"/>
      <c r="AL515" s="140"/>
      <c r="AM515" s="140"/>
      <c r="AN515" s="140"/>
      <c r="AO515" s="140"/>
    </row>
    <row r="516" spans="30:41">
      <c r="AD516" s="140"/>
      <c r="AE516" s="140"/>
      <c r="AF516" s="140"/>
      <c r="AG516" s="140"/>
      <c r="AH516" s="140"/>
      <c r="AI516" s="140"/>
      <c r="AJ516" s="140"/>
      <c r="AK516" s="140"/>
      <c r="AL516" s="140"/>
      <c r="AM516" s="140"/>
      <c r="AN516" s="140"/>
      <c r="AO516" s="140"/>
    </row>
    <row r="517" spans="30:41">
      <c r="AD517" s="140"/>
      <c r="AE517" s="140"/>
      <c r="AF517" s="140"/>
      <c r="AG517" s="140"/>
      <c r="AH517" s="140"/>
      <c r="AI517" s="140"/>
      <c r="AJ517" s="140"/>
      <c r="AK517" s="140"/>
      <c r="AL517" s="140"/>
      <c r="AM517" s="140"/>
      <c r="AN517" s="140"/>
      <c r="AO517" s="140"/>
    </row>
    <row r="518" spans="30:41">
      <c r="AD518" s="140"/>
      <c r="AE518" s="140"/>
      <c r="AF518" s="140"/>
      <c r="AG518" s="140"/>
      <c r="AH518" s="140"/>
      <c r="AI518" s="140"/>
      <c r="AJ518" s="140"/>
      <c r="AK518" s="140"/>
      <c r="AL518" s="140"/>
      <c r="AM518" s="140"/>
      <c r="AN518" s="140"/>
      <c r="AO518" s="140"/>
    </row>
    <row r="519" spans="30:41">
      <c r="AD519" s="140"/>
      <c r="AE519" s="140"/>
      <c r="AF519" s="140"/>
      <c r="AG519" s="140"/>
      <c r="AH519" s="140"/>
      <c r="AI519" s="140"/>
      <c r="AJ519" s="140"/>
      <c r="AK519" s="140"/>
      <c r="AL519" s="140"/>
      <c r="AM519" s="140"/>
      <c r="AN519" s="140"/>
      <c r="AO519" s="140"/>
    </row>
    <row r="520" spans="30:41">
      <c r="AD520" s="140"/>
      <c r="AE520" s="140"/>
      <c r="AF520" s="140"/>
      <c r="AG520" s="140"/>
      <c r="AH520" s="140"/>
      <c r="AI520" s="140"/>
      <c r="AJ520" s="140"/>
      <c r="AK520" s="140"/>
      <c r="AL520" s="140"/>
      <c r="AM520" s="140"/>
      <c r="AN520" s="140"/>
      <c r="AO520" s="140"/>
    </row>
    <row r="521" spans="30:41">
      <c r="AD521" s="140"/>
      <c r="AE521" s="140"/>
      <c r="AF521" s="140"/>
      <c r="AG521" s="140"/>
      <c r="AH521" s="140"/>
      <c r="AI521" s="140"/>
      <c r="AJ521" s="140"/>
      <c r="AK521" s="140"/>
      <c r="AL521" s="140"/>
      <c r="AM521" s="140"/>
      <c r="AN521" s="140"/>
      <c r="AO521" s="140"/>
    </row>
    <row r="522" spans="30:41">
      <c r="AD522" s="140"/>
      <c r="AE522" s="140"/>
      <c r="AF522" s="140"/>
      <c r="AG522" s="140"/>
      <c r="AH522" s="140"/>
      <c r="AI522" s="140"/>
      <c r="AJ522" s="140"/>
      <c r="AK522" s="140"/>
      <c r="AL522" s="140"/>
      <c r="AM522" s="140"/>
      <c r="AN522" s="140"/>
      <c r="AO522" s="140"/>
    </row>
    <row r="523" spans="30:41">
      <c r="AD523" s="140"/>
      <c r="AE523" s="140"/>
      <c r="AF523" s="140"/>
      <c r="AG523" s="140"/>
      <c r="AH523" s="140"/>
      <c r="AI523" s="140"/>
      <c r="AJ523" s="140"/>
      <c r="AK523" s="140"/>
      <c r="AL523" s="140"/>
      <c r="AM523" s="140"/>
      <c r="AN523" s="140"/>
      <c r="AO523" s="140"/>
    </row>
    <row r="524" spans="30:41">
      <c r="AD524" s="140"/>
      <c r="AE524" s="140"/>
      <c r="AF524" s="140"/>
      <c r="AG524" s="140"/>
      <c r="AH524" s="140"/>
      <c r="AI524" s="140"/>
      <c r="AJ524" s="140"/>
      <c r="AK524" s="140"/>
      <c r="AL524" s="140"/>
      <c r="AM524" s="140"/>
      <c r="AN524" s="140"/>
      <c r="AO524" s="140"/>
    </row>
    <row r="525" spans="30:41">
      <c r="AD525" s="140"/>
      <c r="AE525" s="140"/>
      <c r="AF525" s="140"/>
      <c r="AG525" s="140"/>
      <c r="AH525" s="140"/>
      <c r="AI525" s="140"/>
      <c r="AJ525" s="140"/>
      <c r="AK525" s="140"/>
      <c r="AL525" s="140"/>
      <c r="AM525" s="140"/>
      <c r="AN525" s="140"/>
      <c r="AO525" s="140"/>
    </row>
    <row r="526" spans="30:41">
      <c r="AD526" s="140"/>
      <c r="AE526" s="140"/>
      <c r="AF526" s="140"/>
      <c r="AG526" s="140"/>
      <c r="AH526" s="140"/>
      <c r="AI526" s="140"/>
      <c r="AJ526" s="140"/>
      <c r="AK526" s="140"/>
      <c r="AL526" s="140"/>
      <c r="AM526" s="140"/>
      <c r="AN526" s="140"/>
      <c r="AO526" s="140"/>
    </row>
    <row r="527" spans="30:41">
      <c r="AD527" s="140"/>
      <c r="AE527" s="140"/>
      <c r="AF527" s="140"/>
      <c r="AG527" s="140"/>
      <c r="AH527" s="140"/>
      <c r="AI527" s="140"/>
      <c r="AJ527" s="140"/>
      <c r="AK527" s="140"/>
      <c r="AL527" s="140"/>
      <c r="AM527" s="140"/>
      <c r="AN527" s="140"/>
      <c r="AO527" s="140"/>
    </row>
    <row r="528" spans="30:41">
      <c r="AD528" s="140"/>
      <c r="AE528" s="140"/>
      <c r="AF528" s="140"/>
      <c r="AG528" s="140"/>
      <c r="AH528" s="140"/>
      <c r="AI528" s="140"/>
      <c r="AJ528" s="140"/>
      <c r="AK528" s="140"/>
      <c r="AL528" s="140"/>
      <c r="AM528" s="140"/>
      <c r="AN528" s="140"/>
      <c r="AO528" s="140"/>
    </row>
    <row r="529" spans="30:41">
      <c r="AD529" s="140"/>
      <c r="AE529" s="140"/>
      <c r="AF529" s="140"/>
      <c r="AG529" s="140"/>
      <c r="AH529" s="140"/>
      <c r="AI529" s="140"/>
      <c r="AJ529" s="140"/>
      <c r="AK529" s="140"/>
      <c r="AL529" s="140"/>
      <c r="AM529" s="140"/>
      <c r="AN529" s="140"/>
      <c r="AO529" s="140"/>
    </row>
    <row r="530" spans="30:41">
      <c r="AD530" s="140"/>
      <c r="AE530" s="140"/>
      <c r="AF530" s="140"/>
      <c r="AG530" s="140"/>
      <c r="AH530" s="140"/>
      <c r="AI530" s="140"/>
      <c r="AJ530" s="140"/>
      <c r="AK530" s="140"/>
      <c r="AL530" s="140"/>
      <c r="AM530" s="140"/>
      <c r="AN530" s="140"/>
      <c r="AO530" s="140"/>
    </row>
    <row r="531" spans="30:41">
      <c r="AD531" s="140"/>
      <c r="AE531" s="140"/>
      <c r="AF531" s="140"/>
      <c r="AG531" s="140"/>
      <c r="AH531" s="140"/>
      <c r="AI531" s="140"/>
      <c r="AJ531" s="140"/>
      <c r="AK531" s="140"/>
      <c r="AL531" s="140"/>
      <c r="AM531" s="140"/>
      <c r="AN531" s="140"/>
      <c r="AO531" s="140"/>
    </row>
    <row r="532" spans="30:41">
      <c r="AD532" s="140"/>
      <c r="AE532" s="140"/>
      <c r="AF532" s="140"/>
      <c r="AG532" s="140"/>
      <c r="AH532" s="140"/>
      <c r="AI532" s="140"/>
      <c r="AJ532" s="140"/>
      <c r="AK532" s="140"/>
      <c r="AL532" s="140"/>
      <c r="AM532" s="140"/>
      <c r="AN532" s="140"/>
      <c r="AO532" s="140"/>
    </row>
    <row r="533" spans="30:41">
      <c r="AD533" s="140"/>
      <c r="AE533" s="140"/>
      <c r="AF533" s="140"/>
      <c r="AG533" s="140"/>
      <c r="AH533" s="140"/>
      <c r="AI533" s="140"/>
      <c r="AJ533" s="140"/>
      <c r="AK533" s="140"/>
      <c r="AL533" s="140"/>
      <c r="AM533" s="140"/>
      <c r="AN533" s="140"/>
      <c r="AO533" s="140"/>
    </row>
    <row r="534" spans="30:41">
      <c r="AD534" s="140"/>
      <c r="AE534" s="140"/>
      <c r="AF534" s="140"/>
      <c r="AG534" s="140"/>
      <c r="AH534" s="140"/>
      <c r="AI534" s="140"/>
      <c r="AJ534" s="140"/>
      <c r="AK534" s="140"/>
      <c r="AL534" s="140"/>
      <c r="AM534" s="140"/>
      <c r="AN534" s="140"/>
      <c r="AO534" s="140"/>
    </row>
    <row r="535" spans="30:41">
      <c r="AD535" s="140"/>
      <c r="AE535" s="140"/>
      <c r="AF535" s="140"/>
      <c r="AG535" s="140"/>
      <c r="AH535" s="140"/>
      <c r="AI535" s="140"/>
      <c r="AJ535" s="140"/>
      <c r="AK535" s="140"/>
      <c r="AL535" s="140"/>
      <c r="AM535" s="140"/>
      <c r="AN535" s="140"/>
      <c r="AO535" s="140"/>
    </row>
    <row r="536" spans="30:41">
      <c r="AD536" s="140"/>
      <c r="AE536" s="140"/>
      <c r="AF536" s="140"/>
      <c r="AG536" s="140"/>
      <c r="AH536" s="140"/>
      <c r="AI536" s="140"/>
      <c r="AJ536" s="140"/>
      <c r="AK536" s="140"/>
      <c r="AL536" s="140"/>
      <c r="AM536" s="140"/>
      <c r="AN536" s="140"/>
      <c r="AO536" s="140"/>
    </row>
    <row r="537" spans="30:41">
      <c r="AD537" s="140"/>
      <c r="AE537" s="140"/>
      <c r="AF537" s="140"/>
      <c r="AG537" s="140"/>
      <c r="AH537" s="140"/>
      <c r="AI537" s="140"/>
      <c r="AJ537" s="140"/>
      <c r="AK537" s="140"/>
      <c r="AL537" s="140"/>
      <c r="AM537" s="140"/>
      <c r="AN537" s="140"/>
      <c r="AO537" s="140"/>
    </row>
    <row r="538" spans="30:41">
      <c r="AD538" s="140"/>
      <c r="AE538" s="140"/>
      <c r="AF538" s="140"/>
      <c r="AG538" s="140"/>
      <c r="AH538" s="140"/>
      <c r="AI538" s="140"/>
      <c r="AJ538" s="140"/>
      <c r="AK538" s="140"/>
      <c r="AL538" s="140"/>
      <c r="AM538" s="140"/>
      <c r="AN538" s="140"/>
      <c r="AO538" s="140"/>
    </row>
    <row r="539" spans="30:41">
      <c r="AD539" s="140"/>
      <c r="AE539" s="140"/>
      <c r="AF539" s="140"/>
      <c r="AG539" s="140"/>
      <c r="AH539" s="140"/>
      <c r="AI539" s="140"/>
      <c r="AJ539" s="140"/>
      <c r="AK539" s="140"/>
      <c r="AL539" s="140"/>
      <c r="AM539" s="140"/>
      <c r="AN539" s="140"/>
      <c r="AO539" s="140"/>
    </row>
    <row r="540" spans="30:41">
      <c r="AD540" s="140"/>
      <c r="AE540" s="140"/>
      <c r="AF540" s="140"/>
      <c r="AG540" s="140"/>
      <c r="AH540" s="140"/>
      <c r="AI540" s="140"/>
      <c r="AJ540" s="140"/>
      <c r="AK540" s="140"/>
      <c r="AL540" s="140"/>
      <c r="AM540" s="140"/>
      <c r="AN540" s="140"/>
      <c r="AO540" s="140"/>
    </row>
    <row r="541" spans="30:41">
      <c r="AD541" s="140"/>
      <c r="AE541" s="140"/>
      <c r="AF541" s="140"/>
      <c r="AG541" s="140"/>
      <c r="AH541" s="140"/>
      <c r="AI541" s="140"/>
      <c r="AJ541" s="140"/>
      <c r="AK541" s="140"/>
      <c r="AL541" s="140"/>
      <c r="AM541" s="140"/>
      <c r="AN541" s="140"/>
      <c r="AO541" s="140"/>
    </row>
    <row r="542" spans="30:41">
      <c r="AD542" s="140"/>
      <c r="AE542" s="140"/>
      <c r="AF542" s="140"/>
      <c r="AG542" s="140"/>
      <c r="AH542" s="140"/>
      <c r="AI542" s="140"/>
      <c r="AJ542" s="140"/>
      <c r="AK542" s="140"/>
      <c r="AL542" s="140"/>
      <c r="AM542" s="140"/>
      <c r="AN542" s="140"/>
      <c r="AO542" s="140"/>
    </row>
    <row r="543" spans="30:41">
      <c r="AD543" s="140"/>
      <c r="AE543" s="140"/>
      <c r="AF543" s="140"/>
      <c r="AG543" s="140"/>
      <c r="AH543" s="140"/>
      <c r="AI543" s="140"/>
      <c r="AJ543" s="140"/>
      <c r="AK543" s="140"/>
      <c r="AL543" s="140"/>
      <c r="AM543" s="140"/>
      <c r="AN543" s="140"/>
      <c r="AO543" s="140"/>
    </row>
    <row r="544" spans="30:41">
      <c r="AD544" s="140"/>
      <c r="AE544" s="140"/>
      <c r="AF544" s="140"/>
      <c r="AG544" s="140"/>
      <c r="AH544" s="140"/>
      <c r="AI544" s="140"/>
      <c r="AJ544" s="140"/>
      <c r="AK544" s="140"/>
      <c r="AL544" s="140"/>
      <c r="AM544" s="140"/>
      <c r="AN544" s="140"/>
      <c r="AO544" s="140"/>
    </row>
    <row r="545" spans="30:41">
      <c r="AD545" s="140"/>
      <c r="AE545" s="140"/>
      <c r="AF545" s="140"/>
      <c r="AG545" s="140"/>
      <c r="AH545" s="140"/>
      <c r="AI545" s="140"/>
      <c r="AJ545" s="140"/>
      <c r="AK545" s="140"/>
      <c r="AL545" s="140"/>
      <c r="AM545" s="140"/>
      <c r="AN545" s="140"/>
      <c r="AO545" s="140"/>
    </row>
    <row r="546" spans="30:41">
      <c r="AD546" s="140"/>
      <c r="AE546" s="140"/>
      <c r="AF546" s="140"/>
      <c r="AG546" s="140"/>
      <c r="AH546" s="140"/>
      <c r="AI546" s="140"/>
      <c r="AJ546" s="140"/>
      <c r="AK546" s="140"/>
      <c r="AL546" s="140"/>
      <c r="AM546" s="140"/>
      <c r="AN546" s="140"/>
      <c r="AO546" s="140"/>
    </row>
    <row r="547" spans="30:41">
      <c r="AD547" s="140"/>
      <c r="AE547" s="140"/>
      <c r="AF547" s="140"/>
      <c r="AG547" s="140"/>
      <c r="AH547" s="140"/>
      <c r="AI547" s="140"/>
      <c r="AJ547" s="140"/>
      <c r="AK547" s="140"/>
      <c r="AL547" s="140"/>
      <c r="AM547" s="140"/>
      <c r="AN547" s="140"/>
      <c r="AO547" s="140"/>
    </row>
    <row r="548" spans="30:41">
      <c r="AD548" s="140"/>
      <c r="AE548" s="140"/>
      <c r="AF548" s="140"/>
      <c r="AG548" s="140"/>
      <c r="AH548" s="140"/>
      <c r="AI548" s="140"/>
      <c r="AJ548" s="140"/>
      <c r="AK548" s="140"/>
      <c r="AL548" s="140"/>
      <c r="AM548" s="140"/>
      <c r="AN548" s="140"/>
      <c r="AO548" s="140"/>
    </row>
    <row r="549" spans="30:41">
      <c r="AD549" s="140"/>
      <c r="AE549" s="140"/>
      <c r="AF549" s="140"/>
      <c r="AG549" s="140"/>
      <c r="AH549" s="140"/>
      <c r="AI549" s="140"/>
      <c r="AJ549" s="140"/>
      <c r="AK549" s="140"/>
      <c r="AL549" s="140"/>
      <c r="AM549" s="140"/>
      <c r="AN549" s="140"/>
      <c r="AO549" s="140"/>
    </row>
    <row r="550" spans="30:41">
      <c r="AD550" s="140"/>
      <c r="AE550" s="140"/>
      <c r="AF550" s="140"/>
      <c r="AG550" s="140"/>
      <c r="AH550" s="140"/>
      <c r="AI550" s="140"/>
      <c r="AJ550" s="140"/>
      <c r="AK550" s="140"/>
      <c r="AL550" s="140"/>
      <c r="AM550" s="140"/>
      <c r="AN550" s="140"/>
      <c r="AO550" s="140"/>
    </row>
    <row r="551" spans="30:41">
      <c r="AD551" s="140"/>
      <c r="AE551" s="140"/>
      <c r="AF551" s="140"/>
      <c r="AG551" s="140"/>
      <c r="AH551" s="140"/>
      <c r="AI551" s="140"/>
      <c r="AJ551" s="140"/>
      <c r="AK551" s="140"/>
      <c r="AL551" s="140"/>
      <c r="AM551" s="140"/>
      <c r="AN551" s="140"/>
      <c r="AO551" s="140"/>
    </row>
    <row r="552" spans="30:41">
      <c r="AD552" s="140"/>
      <c r="AE552" s="140"/>
      <c r="AF552" s="140"/>
      <c r="AG552" s="140"/>
      <c r="AH552" s="140"/>
      <c r="AI552" s="140"/>
      <c r="AJ552" s="140"/>
      <c r="AK552" s="140"/>
      <c r="AL552" s="140"/>
      <c r="AM552" s="140"/>
      <c r="AN552" s="140"/>
      <c r="AO552" s="140"/>
    </row>
    <row r="553" spans="30:41">
      <c r="AD553" s="140"/>
      <c r="AE553" s="140"/>
      <c r="AF553" s="140"/>
      <c r="AG553" s="140"/>
      <c r="AH553" s="140"/>
      <c r="AI553" s="140"/>
      <c r="AJ553" s="140"/>
      <c r="AK553" s="140"/>
      <c r="AL553" s="140"/>
      <c r="AM553" s="140"/>
      <c r="AN553" s="140"/>
      <c r="AO553" s="140"/>
    </row>
    <row r="554" spans="30:41">
      <c r="AD554" s="140"/>
      <c r="AE554" s="140"/>
      <c r="AF554" s="140"/>
      <c r="AG554" s="140"/>
      <c r="AH554" s="140"/>
      <c r="AI554" s="140"/>
      <c r="AJ554" s="140"/>
      <c r="AK554" s="140"/>
      <c r="AL554" s="140"/>
      <c r="AM554" s="140"/>
      <c r="AN554" s="140"/>
      <c r="AO554" s="140"/>
    </row>
    <row r="555" spans="30:41">
      <c r="AD555" s="140"/>
      <c r="AE555" s="140"/>
      <c r="AF555" s="140"/>
      <c r="AG555" s="140"/>
      <c r="AH555" s="140"/>
      <c r="AI555" s="140"/>
      <c r="AJ555" s="140"/>
      <c r="AK555" s="140"/>
      <c r="AL555" s="140"/>
      <c r="AM555" s="140"/>
      <c r="AN555" s="140"/>
      <c r="AO555" s="140"/>
    </row>
    <row r="556" spans="30:41">
      <c r="AD556" s="140"/>
      <c r="AE556" s="140"/>
      <c r="AF556" s="140"/>
      <c r="AG556" s="140"/>
      <c r="AH556" s="140"/>
      <c r="AI556" s="140"/>
      <c r="AJ556" s="140"/>
      <c r="AK556" s="140"/>
      <c r="AL556" s="140"/>
      <c r="AM556" s="140"/>
      <c r="AN556" s="140"/>
      <c r="AO556" s="140"/>
    </row>
    <row r="557" spans="30:41">
      <c r="AD557" s="140"/>
      <c r="AE557" s="140"/>
      <c r="AF557" s="140"/>
      <c r="AG557" s="140"/>
      <c r="AH557" s="140"/>
      <c r="AI557" s="140"/>
      <c r="AJ557" s="140"/>
      <c r="AK557" s="140"/>
      <c r="AL557" s="140"/>
      <c r="AM557" s="140"/>
      <c r="AN557" s="140"/>
      <c r="AO557" s="140"/>
    </row>
    <row r="558" spans="30:41">
      <c r="AD558" s="140"/>
      <c r="AE558" s="140"/>
      <c r="AF558" s="140"/>
      <c r="AG558" s="140"/>
      <c r="AH558" s="140"/>
      <c r="AI558" s="140"/>
      <c r="AJ558" s="140"/>
      <c r="AK558" s="140"/>
      <c r="AL558" s="140"/>
      <c r="AM558" s="140"/>
      <c r="AN558" s="140"/>
      <c r="AO558" s="140"/>
    </row>
    <row r="559" spans="30:41">
      <c r="AD559" s="140"/>
      <c r="AE559" s="140"/>
      <c r="AF559" s="140"/>
      <c r="AG559" s="140"/>
      <c r="AH559" s="140"/>
      <c r="AI559" s="140"/>
      <c r="AJ559" s="140"/>
      <c r="AK559" s="140"/>
      <c r="AL559" s="140"/>
      <c r="AM559" s="140"/>
      <c r="AN559" s="140"/>
      <c r="AO559" s="140"/>
    </row>
    <row r="560" spans="30:41">
      <c r="AD560" s="140"/>
      <c r="AE560" s="140"/>
      <c r="AF560" s="140"/>
      <c r="AG560" s="140"/>
      <c r="AH560" s="140"/>
      <c r="AI560" s="140"/>
      <c r="AJ560" s="140"/>
      <c r="AK560" s="140"/>
      <c r="AL560" s="140"/>
      <c r="AM560" s="140"/>
      <c r="AN560" s="140"/>
      <c r="AO560" s="140"/>
    </row>
    <row r="561" spans="30:41">
      <c r="AD561" s="140"/>
      <c r="AE561" s="140"/>
      <c r="AF561" s="140"/>
      <c r="AG561" s="140"/>
      <c r="AH561" s="140"/>
      <c r="AI561" s="140"/>
      <c r="AJ561" s="140"/>
      <c r="AK561" s="140"/>
      <c r="AL561" s="140"/>
      <c r="AM561" s="140"/>
      <c r="AN561" s="140"/>
      <c r="AO561" s="140"/>
    </row>
    <row r="562" spans="30:41">
      <c r="AD562" s="140"/>
      <c r="AE562" s="140"/>
      <c r="AF562" s="140"/>
      <c r="AG562" s="140"/>
      <c r="AH562" s="140"/>
      <c r="AI562" s="140"/>
      <c r="AJ562" s="140"/>
      <c r="AK562" s="140"/>
      <c r="AL562" s="140"/>
      <c r="AM562" s="140"/>
      <c r="AN562" s="140"/>
      <c r="AO562" s="140"/>
    </row>
    <row r="563" spans="30:41">
      <c r="AD563" s="140"/>
      <c r="AE563" s="140"/>
      <c r="AF563" s="140"/>
      <c r="AG563" s="140"/>
      <c r="AH563" s="140"/>
      <c r="AI563" s="140"/>
      <c r="AJ563" s="140"/>
      <c r="AK563" s="140"/>
      <c r="AL563" s="140"/>
      <c r="AM563" s="140"/>
      <c r="AN563" s="140"/>
      <c r="AO563" s="140"/>
    </row>
    <row r="564" spans="30:41">
      <c r="AD564" s="140"/>
      <c r="AE564" s="140"/>
      <c r="AF564" s="140"/>
      <c r="AG564" s="140"/>
      <c r="AH564" s="140"/>
      <c r="AI564" s="140"/>
      <c r="AJ564" s="140"/>
      <c r="AK564" s="140"/>
      <c r="AL564" s="140"/>
      <c r="AM564" s="140"/>
      <c r="AN564" s="140"/>
      <c r="AO564" s="140"/>
    </row>
    <row r="565" spans="30:41">
      <c r="AD565" s="140"/>
      <c r="AE565" s="140"/>
      <c r="AF565" s="140"/>
      <c r="AG565" s="140"/>
      <c r="AH565" s="140"/>
      <c r="AI565" s="140"/>
      <c r="AJ565" s="140"/>
      <c r="AK565" s="140"/>
      <c r="AL565" s="140"/>
      <c r="AM565" s="140"/>
      <c r="AN565" s="140"/>
      <c r="AO565" s="140"/>
    </row>
    <row r="566" spans="30:41">
      <c r="AD566" s="140"/>
      <c r="AE566" s="140"/>
      <c r="AF566" s="140"/>
      <c r="AG566" s="140"/>
      <c r="AH566" s="140"/>
      <c r="AI566" s="140"/>
      <c r="AJ566" s="140"/>
      <c r="AK566" s="140"/>
      <c r="AL566" s="140"/>
      <c r="AM566" s="140"/>
      <c r="AN566" s="140"/>
      <c r="AO566" s="140"/>
    </row>
    <row r="567" spans="30:41"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</row>
    <row r="568" spans="30:41">
      <c r="AD568" s="140"/>
      <c r="AE568" s="140"/>
      <c r="AF568" s="140"/>
      <c r="AG568" s="140"/>
      <c r="AH568" s="140"/>
      <c r="AI568" s="140"/>
      <c r="AJ568" s="140"/>
      <c r="AK568" s="140"/>
      <c r="AL568" s="140"/>
      <c r="AM568" s="140"/>
      <c r="AN568" s="140"/>
      <c r="AO568" s="140"/>
    </row>
    <row r="569" spans="30:41">
      <c r="AD569" s="140"/>
      <c r="AE569" s="140"/>
      <c r="AF569" s="140"/>
      <c r="AG569" s="140"/>
      <c r="AH569" s="140"/>
      <c r="AI569" s="140"/>
      <c r="AJ569" s="140"/>
      <c r="AK569" s="140"/>
      <c r="AL569" s="140"/>
      <c r="AM569" s="140"/>
      <c r="AN569" s="140"/>
      <c r="AO569" s="140"/>
    </row>
    <row r="570" spans="30:41">
      <c r="AD570" s="140"/>
      <c r="AE570" s="140"/>
      <c r="AF570" s="140"/>
      <c r="AG570" s="140"/>
      <c r="AH570" s="140"/>
      <c r="AI570" s="140"/>
      <c r="AJ570" s="140"/>
      <c r="AK570" s="140"/>
      <c r="AL570" s="140"/>
      <c r="AM570" s="140"/>
      <c r="AN570" s="140"/>
      <c r="AO570" s="140"/>
    </row>
    <row r="571" spans="30:41">
      <c r="AD571" s="140"/>
      <c r="AE571" s="140"/>
      <c r="AF571" s="140"/>
      <c r="AG571" s="140"/>
      <c r="AH571" s="140"/>
      <c r="AI571" s="140"/>
      <c r="AJ571" s="140"/>
      <c r="AK571" s="140"/>
      <c r="AL571" s="140"/>
      <c r="AM571" s="140"/>
      <c r="AN571" s="140"/>
      <c r="AO571" s="140"/>
    </row>
    <row r="572" spans="30:41">
      <c r="AD572" s="140"/>
      <c r="AE572" s="140"/>
      <c r="AF572" s="140"/>
      <c r="AG572" s="140"/>
      <c r="AH572" s="140"/>
      <c r="AI572" s="140"/>
      <c r="AJ572" s="140"/>
      <c r="AK572" s="140"/>
      <c r="AL572" s="140"/>
      <c r="AM572" s="140"/>
      <c r="AN572" s="140"/>
      <c r="AO572" s="140"/>
    </row>
    <row r="573" spans="30:41">
      <c r="AD573" s="140"/>
      <c r="AE573" s="140"/>
      <c r="AF573" s="140"/>
      <c r="AG573" s="140"/>
      <c r="AH573" s="140"/>
      <c r="AI573" s="140"/>
      <c r="AJ573" s="140"/>
      <c r="AK573" s="140"/>
      <c r="AL573" s="140"/>
      <c r="AM573" s="140"/>
      <c r="AN573" s="140"/>
      <c r="AO573" s="140"/>
    </row>
    <row r="574" spans="30:41">
      <c r="AD574" s="140"/>
      <c r="AE574" s="140"/>
      <c r="AF574" s="140"/>
      <c r="AG574" s="140"/>
      <c r="AH574" s="140"/>
      <c r="AI574" s="140"/>
      <c r="AJ574" s="140"/>
      <c r="AK574" s="140"/>
      <c r="AL574" s="140"/>
      <c r="AM574" s="140"/>
      <c r="AN574" s="140"/>
      <c r="AO574" s="140"/>
    </row>
    <row r="575" spans="30:41">
      <c r="AD575" s="140"/>
      <c r="AE575" s="140"/>
      <c r="AF575" s="140"/>
      <c r="AG575" s="140"/>
      <c r="AH575" s="140"/>
      <c r="AI575" s="140"/>
      <c r="AJ575" s="140"/>
      <c r="AK575" s="140"/>
      <c r="AL575" s="140"/>
      <c r="AM575" s="140"/>
      <c r="AN575" s="140"/>
      <c r="AO575" s="140"/>
    </row>
    <row r="576" spans="30:41">
      <c r="AD576" s="140"/>
      <c r="AE576" s="140"/>
      <c r="AF576" s="140"/>
      <c r="AG576" s="140"/>
      <c r="AH576" s="140"/>
      <c r="AI576" s="140"/>
      <c r="AJ576" s="140"/>
      <c r="AK576" s="140"/>
      <c r="AL576" s="140"/>
      <c r="AM576" s="140"/>
      <c r="AN576" s="140"/>
      <c r="AO576" s="140"/>
    </row>
    <row r="577" spans="30:41">
      <c r="AD577" s="140"/>
      <c r="AE577" s="140"/>
      <c r="AF577" s="140"/>
      <c r="AG577" s="140"/>
      <c r="AH577" s="140"/>
      <c r="AI577" s="140"/>
      <c r="AJ577" s="140"/>
      <c r="AK577" s="140"/>
      <c r="AL577" s="140"/>
      <c r="AM577" s="140"/>
      <c r="AN577" s="140"/>
      <c r="AO577" s="140"/>
    </row>
    <row r="578" spans="30:41">
      <c r="AD578" s="140"/>
      <c r="AE578" s="140"/>
      <c r="AF578" s="140"/>
      <c r="AG578" s="140"/>
      <c r="AH578" s="140"/>
      <c r="AI578" s="140"/>
      <c r="AJ578" s="140"/>
      <c r="AK578" s="140"/>
      <c r="AL578" s="140"/>
      <c r="AM578" s="140"/>
      <c r="AN578" s="140"/>
      <c r="AO578" s="140"/>
    </row>
    <row r="579" spans="30:41">
      <c r="AD579" s="140"/>
      <c r="AE579" s="140"/>
      <c r="AF579" s="140"/>
      <c r="AG579" s="140"/>
      <c r="AH579" s="140"/>
      <c r="AI579" s="140"/>
      <c r="AJ579" s="140"/>
      <c r="AK579" s="140"/>
      <c r="AL579" s="140"/>
      <c r="AM579" s="140"/>
      <c r="AN579" s="140"/>
      <c r="AO579" s="140"/>
    </row>
    <row r="580" spans="30:41">
      <c r="AD580" s="140"/>
      <c r="AE580" s="140"/>
      <c r="AF580" s="140"/>
      <c r="AG580" s="140"/>
      <c r="AH580" s="140"/>
      <c r="AI580" s="140"/>
      <c r="AJ580" s="140"/>
      <c r="AK580" s="140"/>
      <c r="AL580" s="140"/>
      <c r="AM580" s="140"/>
      <c r="AN580" s="140"/>
      <c r="AO580" s="140"/>
    </row>
    <row r="581" spans="30:41">
      <c r="AD581" s="140"/>
      <c r="AE581" s="140"/>
      <c r="AF581" s="140"/>
      <c r="AG581" s="140"/>
      <c r="AH581" s="140"/>
      <c r="AI581" s="140"/>
      <c r="AJ581" s="140"/>
      <c r="AK581" s="140"/>
      <c r="AL581" s="140"/>
      <c r="AM581" s="140"/>
      <c r="AN581" s="140"/>
      <c r="AO581" s="140"/>
    </row>
    <row r="582" spans="30:41">
      <c r="AD582" s="140"/>
      <c r="AE582" s="140"/>
      <c r="AF582" s="140"/>
      <c r="AG582" s="140"/>
      <c r="AH582" s="140"/>
      <c r="AI582" s="140"/>
      <c r="AJ582" s="140"/>
      <c r="AK582" s="140"/>
      <c r="AL582" s="140"/>
      <c r="AM582" s="140"/>
      <c r="AN582" s="140"/>
      <c r="AO582" s="140"/>
    </row>
    <row r="583" spans="30:41">
      <c r="AD583" s="140"/>
      <c r="AE583" s="140"/>
      <c r="AF583" s="140"/>
      <c r="AG583" s="140"/>
      <c r="AH583" s="140"/>
      <c r="AI583" s="140"/>
      <c r="AJ583" s="140"/>
      <c r="AK583" s="140"/>
      <c r="AL583" s="140"/>
      <c r="AM583" s="140"/>
      <c r="AN583" s="140"/>
      <c r="AO583" s="140"/>
    </row>
    <row r="584" spans="30:41">
      <c r="AD584" s="140"/>
      <c r="AE584" s="140"/>
      <c r="AF584" s="140"/>
      <c r="AG584" s="140"/>
      <c r="AH584" s="140"/>
      <c r="AI584" s="140"/>
      <c r="AJ584" s="140"/>
      <c r="AK584" s="140"/>
      <c r="AL584" s="140"/>
      <c r="AM584" s="140"/>
      <c r="AN584" s="140"/>
      <c r="AO584" s="140"/>
    </row>
    <row r="585" spans="30:41">
      <c r="AD585" s="140"/>
      <c r="AE585" s="140"/>
      <c r="AF585" s="140"/>
      <c r="AG585" s="140"/>
      <c r="AH585" s="140"/>
      <c r="AI585" s="140"/>
      <c r="AJ585" s="140"/>
      <c r="AK585" s="140"/>
      <c r="AL585" s="140"/>
      <c r="AM585" s="140"/>
      <c r="AN585" s="140"/>
      <c r="AO585" s="140"/>
    </row>
    <row r="586" spans="30:41">
      <c r="AD586" s="140"/>
      <c r="AE586" s="140"/>
      <c r="AF586" s="140"/>
      <c r="AG586" s="140"/>
      <c r="AH586" s="140"/>
      <c r="AI586" s="140"/>
      <c r="AJ586" s="140"/>
      <c r="AK586" s="140"/>
      <c r="AL586" s="140"/>
      <c r="AM586" s="140"/>
      <c r="AN586" s="140"/>
      <c r="AO586" s="140"/>
    </row>
    <row r="587" spans="30:41">
      <c r="AD587" s="140"/>
      <c r="AE587" s="140"/>
      <c r="AF587" s="140"/>
      <c r="AG587" s="140"/>
      <c r="AH587" s="140"/>
      <c r="AI587" s="140"/>
      <c r="AJ587" s="140"/>
      <c r="AK587" s="140"/>
      <c r="AL587" s="140"/>
      <c r="AM587" s="140"/>
      <c r="AN587" s="140"/>
      <c r="AO587" s="140"/>
    </row>
    <row r="588" spans="30:41">
      <c r="AD588" s="140"/>
      <c r="AE588" s="140"/>
      <c r="AF588" s="140"/>
      <c r="AG588" s="140"/>
      <c r="AH588" s="140"/>
      <c r="AI588" s="140"/>
      <c r="AJ588" s="140"/>
      <c r="AK588" s="140"/>
      <c r="AL588" s="140"/>
      <c r="AM588" s="140"/>
      <c r="AN588" s="140"/>
      <c r="AO588" s="140"/>
    </row>
    <row r="589" spans="30:41">
      <c r="AD589" s="140"/>
      <c r="AE589" s="140"/>
      <c r="AF589" s="140"/>
      <c r="AG589" s="140"/>
      <c r="AH589" s="140"/>
      <c r="AI589" s="140"/>
      <c r="AJ589" s="140"/>
      <c r="AK589" s="140"/>
      <c r="AL589" s="140"/>
      <c r="AM589" s="140"/>
      <c r="AN589" s="140"/>
      <c r="AO589" s="140"/>
    </row>
    <row r="590" spans="30:41">
      <c r="AD590" s="140"/>
      <c r="AE590" s="140"/>
      <c r="AF590" s="140"/>
      <c r="AG590" s="140"/>
      <c r="AH590" s="140"/>
      <c r="AI590" s="140"/>
      <c r="AJ590" s="140"/>
      <c r="AK590" s="140"/>
      <c r="AL590" s="140"/>
      <c r="AM590" s="140"/>
      <c r="AN590" s="140"/>
      <c r="AO590" s="140"/>
    </row>
    <row r="591" spans="30:41">
      <c r="AD591" s="140"/>
      <c r="AE591" s="140"/>
      <c r="AF591" s="140"/>
      <c r="AG591" s="140"/>
      <c r="AH591" s="140"/>
      <c r="AI591" s="140"/>
      <c r="AJ591" s="140"/>
      <c r="AK591" s="140"/>
      <c r="AL591" s="140"/>
      <c r="AM591" s="140"/>
      <c r="AN591" s="140"/>
      <c r="AO591" s="140"/>
    </row>
    <row r="592" spans="30:41">
      <c r="AD592" s="140"/>
      <c r="AE592" s="140"/>
      <c r="AF592" s="140"/>
      <c r="AG592" s="140"/>
      <c r="AH592" s="140"/>
      <c r="AI592" s="140"/>
      <c r="AJ592" s="140"/>
      <c r="AK592" s="140"/>
      <c r="AL592" s="140"/>
      <c r="AM592" s="140"/>
      <c r="AN592" s="140"/>
      <c r="AO592" s="140"/>
    </row>
    <row r="593" spans="30:41">
      <c r="AD593" s="140"/>
      <c r="AE593" s="140"/>
      <c r="AF593" s="140"/>
      <c r="AG593" s="140"/>
      <c r="AH593" s="140"/>
      <c r="AI593" s="140"/>
      <c r="AJ593" s="140"/>
      <c r="AK593" s="140"/>
      <c r="AL593" s="140"/>
      <c r="AM593" s="140"/>
      <c r="AN593" s="140"/>
      <c r="AO593" s="140"/>
    </row>
    <row r="594" spans="30:41">
      <c r="AD594" s="140"/>
      <c r="AE594" s="140"/>
      <c r="AF594" s="140"/>
      <c r="AG594" s="140"/>
      <c r="AH594" s="140"/>
      <c r="AI594" s="140"/>
      <c r="AJ594" s="140"/>
      <c r="AK594" s="140"/>
      <c r="AL594" s="140"/>
      <c r="AM594" s="140"/>
      <c r="AN594" s="140"/>
      <c r="AO594" s="140"/>
    </row>
    <row r="595" spans="30:41">
      <c r="AD595" s="140"/>
      <c r="AE595" s="140"/>
      <c r="AF595" s="140"/>
      <c r="AG595" s="140"/>
      <c r="AH595" s="140"/>
      <c r="AI595" s="140"/>
      <c r="AJ595" s="140"/>
      <c r="AK595" s="140"/>
      <c r="AL595" s="140"/>
      <c r="AM595" s="140"/>
      <c r="AN595" s="140"/>
      <c r="AO595" s="140"/>
    </row>
    <row r="596" spans="30:41">
      <c r="AD596" s="140"/>
      <c r="AE596" s="140"/>
      <c r="AF596" s="140"/>
      <c r="AG596" s="140"/>
      <c r="AH596" s="140"/>
      <c r="AI596" s="140"/>
      <c r="AJ596" s="140"/>
      <c r="AK596" s="140"/>
      <c r="AL596" s="140"/>
      <c r="AM596" s="140"/>
      <c r="AN596" s="140"/>
      <c r="AO596" s="140"/>
    </row>
    <row r="597" spans="30:41">
      <c r="AD597" s="140"/>
      <c r="AE597" s="140"/>
      <c r="AF597" s="140"/>
      <c r="AG597" s="140"/>
      <c r="AH597" s="140"/>
      <c r="AI597" s="140"/>
      <c r="AJ597" s="140"/>
      <c r="AK597" s="140"/>
      <c r="AL597" s="140"/>
      <c r="AM597" s="140"/>
      <c r="AN597" s="140"/>
      <c r="AO597" s="140"/>
    </row>
    <row r="598" spans="30:41">
      <c r="AD598" s="140"/>
      <c r="AE598" s="140"/>
      <c r="AF598" s="140"/>
      <c r="AG598" s="140"/>
      <c r="AH598" s="140"/>
      <c r="AI598" s="140"/>
      <c r="AJ598" s="140"/>
      <c r="AK598" s="140"/>
      <c r="AL598" s="140"/>
      <c r="AM598" s="140"/>
      <c r="AN598" s="140"/>
      <c r="AO598" s="140"/>
    </row>
    <row r="599" spans="30:41">
      <c r="AD599" s="140"/>
      <c r="AE599" s="140"/>
      <c r="AF599" s="140"/>
      <c r="AG599" s="140"/>
      <c r="AH599" s="140"/>
      <c r="AI599" s="140"/>
      <c r="AJ599" s="140"/>
      <c r="AK599" s="140"/>
      <c r="AL599" s="140"/>
      <c r="AM599" s="140"/>
      <c r="AN599" s="140"/>
      <c r="AO599" s="140"/>
    </row>
    <row r="600" spans="30:41">
      <c r="AD600" s="140"/>
      <c r="AE600" s="140"/>
      <c r="AF600" s="140"/>
      <c r="AG600" s="140"/>
      <c r="AH600" s="140"/>
      <c r="AI600" s="140"/>
      <c r="AJ600" s="140"/>
      <c r="AK600" s="140"/>
      <c r="AL600" s="140"/>
      <c r="AM600" s="140"/>
      <c r="AN600" s="140"/>
      <c r="AO600" s="140"/>
    </row>
    <row r="601" spans="30:41">
      <c r="AD601" s="140"/>
      <c r="AE601" s="140"/>
      <c r="AF601" s="140"/>
      <c r="AG601" s="140"/>
      <c r="AH601" s="140"/>
      <c r="AI601" s="140"/>
      <c r="AJ601" s="140"/>
      <c r="AK601" s="140"/>
      <c r="AL601" s="140"/>
      <c r="AM601" s="140"/>
      <c r="AN601" s="140"/>
      <c r="AO601" s="140"/>
    </row>
    <row r="602" spans="30:41">
      <c r="AD602" s="140"/>
      <c r="AE602" s="140"/>
      <c r="AF602" s="140"/>
      <c r="AG602" s="140"/>
      <c r="AH602" s="140"/>
      <c r="AI602" s="140"/>
      <c r="AJ602" s="140"/>
      <c r="AK602" s="140"/>
      <c r="AL602" s="140"/>
      <c r="AM602" s="140"/>
      <c r="AN602" s="140"/>
      <c r="AO602" s="140"/>
    </row>
    <row r="603" spans="30:41">
      <c r="AD603" s="140"/>
      <c r="AE603" s="140"/>
      <c r="AF603" s="140"/>
      <c r="AG603" s="140"/>
      <c r="AH603" s="140"/>
      <c r="AI603" s="140"/>
      <c r="AJ603" s="140"/>
      <c r="AK603" s="140"/>
      <c r="AL603" s="140"/>
      <c r="AM603" s="140"/>
      <c r="AN603" s="140"/>
      <c r="AO603" s="140"/>
    </row>
    <row r="604" spans="30:41">
      <c r="AD604" s="140"/>
      <c r="AE604" s="140"/>
      <c r="AF604" s="140"/>
      <c r="AG604" s="140"/>
      <c r="AH604" s="140"/>
      <c r="AI604" s="140"/>
      <c r="AJ604" s="140"/>
      <c r="AK604" s="140"/>
      <c r="AL604" s="140"/>
      <c r="AM604" s="140"/>
      <c r="AN604" s="140"/>
      <c r="AO604" s="140"/>
    </row>
    <row r="605" spans="30:41">
      <c r="AD605" s="140"/>
      <c r="AE605" s="140"/>
      <c r="AF605" s="140"/>
      <c r="AG605" s="140"/>
      <c r="AH605" s="140"/>
      <c r="AI605" s="140"/>
      <c r="AJ605" s="140"/>
      <c r="AK605" s="140"/>
      <c r="AL605" s="140"/>
      <c r="AM605" s="140"/>
      <c r="AN605" s="140"/>
      <c r="AO605" s="140"/>
    </row>
    <row r="606" spans="30:41">
      <c r="AD606" s="140"/>
      <c r="AE606" s="140"/>
      <c r="AF606" s="140"/>
      <c r="AG606" s="140"/>
      <c r="AH606" s="140"/>
      <c r="AI606" s="140"/>
      <c r="AJ606" s="140"/>
      <c r="AK606" s="140"/>
      <c r="AL606" s="140"/>
      <c r="AM606" s="140"/>
      <c r="AN606" s="140"/>
      <c r="AO606" s="140"/>
    </row>
    <row r="607" spans="30:41">
      <c r="AD607" s="140"/>
      <c r="AE607" s="140"/>
      <c r="AF607" s="140"/>
      <c r="AG607" s="140"/>
      <c r="AH607" s="140"/>
      <c r="AI607" s="140"/>
      <c r="AJ607" s="140"/>
      <c r="AK607" s="140"/>
      <c r="AL607" s="140"/>
      <c r="AM607" s="140"/>
      <c r="AN607" s="140"/>
      <c r="AO607" s="140"/>
    </row>
    <row r="608" spans="30:41">
      <c r="AD608" s="140"/>
      <c r="AE608" s="140"/>
      <c r="AF608" s="140"/>
      <c r="AG608" s="140"/>
      <c r="AH608" s="140"/>
      <c r="AI608" s="140"/>
      <c r="AJ608" s="140"/>
      <c r="AK608" s="140"/>
      <c r="AL608" s="140"/>
      <c r="AM608" s="140"/>
      <c r="AN608" s="140"/>
      <c r="AO608" s="140"/>
    </row>
    <row r="609" spans="30:41">
      <c r="AD609" s="140"/>
      <c r="AE609" s="140"/>
      <c r="AF609" s="140"/>
      <c r="AG609" s="140"/>
      <c r="AH609" s="140"/>
      <c r="AI609" s="140"/>
      <c r="AJ609" s="140"/>
      <c r="AK609" s="140"/>
      <c r="AL609" s="140"/>
      <c r="AM609" s="140"/>
      <c r="AN609" s="140"/>
      <c r="AO609" s="140"/>
    </row>
    <row r="610" spans="30:41">
      <c r="AD610" s="140"/>
      <c r="AE610" s="140"/>
      <c r="AF610" s="140"/>
      <c r="AG610" s="140"/>
      <c r="AH610" s="140"/>
      <c r="AI610" s="140"/>
      <c r="AJ610" s="140"/>
      <c r="AK610" s="140"/>
      <c r="AL610" s="140"/>
      <c r="AM610" s="140"/>
      <c r="AN610" s="140"/>
      <c r="AO610" s="140"/>
    </row>
    <row r="611" spans="30:41">
      <c r="AD611" s="140"/>
      <c r="AE611" s="140"/>
      <c r="AF611" s="140"/>
      <c r="AG611" s="140"/>
      <c r="AH611" s="140"/>
      <c r="AI611" s="140"/>
      <c r="AJ611" s="140"/>
      <c r="AK611" s="140"/>
      <c r="AL611" s="140"/>
      <c r="AM611" s="140"/>
      <c r="AN611" s="140"/>
      <c r="AO611" s="140"/>
    </row>
    <row r="612" spans="30:41">
      <c r="AD612" s="140"/>
      <c r="AE612" s="140"/>
      <c r="AF612" s="140"/>
      <c r="AG612" s="140"/>
      <c r="AH612" s="140"/>
      <c r="AI612" s="140"/>
      <c r="AJ612" s="140"/>
      <c r="AK612" s="140"/>
      <c r="AL612" s="140"/>
      <c r="AM612" s="140"/>
      <c r="AN612" s="140"/>
      <c r="AO612" s="140"/>
    </row>
    <row r="613" spans="30:41">
      <c r="AD613" s="140"/>
      <c r="AE613" s="140"/>
      <c r="AF613" s="140"/>
      <c r="AG613" s="140"/>
      <c r="AH613" s="140"/>
      <c r="AI613" s="140"/>
      <c r="AJ613" s="140"/>
      <c r="AK613" s="140"/>
      <c r="AL613" s="140"/>
      <c r="AM613" s="140"/>
      <c r="AN613" s="140"/>
      <c r="AO613" s="140"/>
    </row>
    <row r="614" spans="30:41">
      <c r="AD614" s="140"/>
      <c r="AE614" s="140"/>
      <c r="AF614" s="140"/>
      <c r="AG614" s="140"/>
      <c r="AH614" s="140"/>
      <c r="AI614" s="140"/>
      <c r="AJ614" s="140"/>
      <c r="AK614" s="140"/>
      <c r="AL614" s="140"/>
      <c r="AM614" s="140"/>
      <c r="AN614" s="140"/>
      <c r="AO614" s="140"/>
    </row>
    <row r="615" spans="30:41">
      <c r="AD615" s="140"/>
      <c r="AE615" s="140"/>
      <c r="AF615" s="140"/>
      <c r="AG615" s="140"/>
      <c r="AH615" s="140"/>
      <c r="AI615" s="140"/>
      <c r="AJ615" s="140"/>
      <c r="AK615" s="140"/>
      <c r="AL615" s="140"/>
      <c r="AM615" s="140"/>
      <c r="AN615" s="140"/>
      <c r="AO615" s="140"/>
    </row>
    <row r="616" spans="30:41">
      <c r="AD616" s="140"/>
      <c r="AE616" s="140"/>
      <c r="AF616" s="140"/>
      <c r="AG616" s="140"/>
      <c r="AH616" s="140"/>
      <c r="AI616" s="140"/>
      <c r="AJ616" s="140"/>
      <c r="AK616" s="140"/>
      <c r="AL616" s="140"/>
      <c r="AM616" s="140"/>
      <c r="AN616" s="140"/>
      <c r="AO616" s="140"/>
    </row>
    <row r="617" spans="30:41">
      <c r="AD617" s="140"/>
      <c r="AE617" s="140"/>
      <c r="AF617" s="140"/>
      <c r="AG617" s="140"/>
      <c r="AH617" s="140"/>
      <c r="AI617" s="140"/>
      <c r="AJ617" s="140"/>
      <c r="AK617" s="140"/>
      <c r="AL617" s="140"/>
      <c r="AM617" s="140"/>
      <c r="AN617" s="140"/>
      <c r="AO617" s="140"/>
    </row>
    <row r="618" spans="30:41">
      <c r="AD618" s="140"/>
      <c r="AE618" s="140"/>
      <c r="AF618" s="140"/>
      <c r="AG618" s="140"/>
      <c r="AH618" s="140"/>
      <c r="AI618" s="140"/>
      <c r="AJ618" s="140"/>
      <c r="AK618" s="140"/>
      <c r="AL618" s="140"/>
      <c r="AM618" s="140"/>
      <c r="AN618" s="140"/>
      <c r="AO618" s="140"/>
    </row>
    <row r="619" spans="30:41">
      <c r="AD619" s="140"/>
      <c r="AE619" s="140"/>
      <c r="AF619" s="140"/>
      <c r="AG619" s="140"/>
      <c r="AH619" s="140"/>
      <c r="AI619" s="140"/>
      <c r="AJ619" s="140"/>
      <c r="AK619" s="140"/>
      <c r="AL619" s="140"/>
      <c r="AM619" s="140"/>
      <c r="AN619" s="140"/>
      <c r="AO619" s="140"/>
    </row>
    <row r="620" spans="30:41">
      <c r="AD620" s="140"/>
      <c r="AE620" s="140"/>
      <c r="AF620" s="140"/>
      <c r="AG620" s="140"/>
      <c r="AH620" s="140"/>
      <c r="AI620" s="140"/>
      <c r="AJ620" s="140"/>
      <c r="AK620" s="140"/>
      <c r="AL620" s="140"/>
      <c r="AM620" s="140"/>
      <c r="AN620" s="140"/>
      <c r="AO620" s="140"/>
    </row>
    <row r="621" spans="30:41">
      <c r="AD621" s="140"/>
      <c r="AE621" s="140"/>
      <c r="AF621" s="140"/>
      <c r="AG621" s="140"/>
      <c r="AH621" s="140"/>
      <c r="AI621" s="140"/>
      <c r="AJ621" s="140"/>
      <c r="AK621" s="140"/>
      <c r="AL621" s="140"/>
      <c r="AM621" s="140"/>
      <c r="AN621" s="140"/>
      <c r="AO621" s="140"/>
    </row>
    <row r="622" spans="30:41">
      <c r="AD622" s="140"/>
      <c r="AE622" s="140"/>
      <c r="AF622" s="140"/>
      <c r="AG622" s="140"/>
      <c r="AH622" s="140"/>
      <c r="AI622" s="140"/>
      <c r="AJ622" s="140"/>
      <c r="AK622" s="140"/>
      <c r="AL622" s="140"/>
      <c r="AM622" s="140"/>
      <c r="AN622" s="140"/>
      <c r="AO622" s="140"/>
    </row>
    <row r="623" spans="30:41">
      <c r="AD623" s="140"/>
      <c r="AE623" s="140"/>
      <c r="AF623" s="140"/>
      <c r="AG623" s="140"/>
      <c r="AH623" s="140"/>
      <c r="AI623" s="140"/>
      <c r="AJ623" s="140"/>
      <c r="AK623" s="140"/>
      <c r="AL623" s="140"/>
      <c r="AM623" s="140"/>
      <c r="AN623" s="140"/>
      <c r="AO623" s="140"/>
    </row>
    <row r="624" spans="30:41">
      <c r="AD624" s="140"/>
      <c r="AE624" s="140"/>
      <c r="AF624" s="140"/>
      <c r="AG624" s="140"/>
      <c r="AH624" s="140"/>
      <c r="AI624" s="140"/>
      <c r="AJ624" s="140"/>
      <c r="AK624" s="140"/>
      <c r="AL624" s="140"/>
      <c r="AM624" s="140"/>
      <c r="AN624" s="140"/>
      <c r="AO624" s="140"/>
    </row>
    <row r="625" spans="30:41">
      <c r="AD625" s="140"/>
      <c r="AE625" s="140"/>
      <c r="AF625" s="140"/>
      <c r="AG625" s="140"/>
      <c r="AH625" s="140"/>
      <c r="AI625" s="140"/>
      <c r="AJ625" s="140"/>
      <c r="AK625" s="140"/>
      <c r="AL625" s="140"/>
      <c r="AM625" s="140"/>
      <c r="AN625" s="140"/>
      <c r="AO625" s="140"/>
    </row>
    <row r="626" spans="30:41">
      <c r="AD626" s="140"/>
      <c r="AE626" s="140"/>
      <c r="AF626" s="140"/>
      <c r="AG626" s="140"/>
      <c r="AH626" s="140"/>
      <c r="AI626" s="140"/>
      <c r="AJ626" s="140"/>
      <c r="AK626" s="140"/>
      <c r="AL626" s="140"/>
      <c r="AM626" s="140"/>
      <c r="AN626" s="140"/>
      <c r="AO626" s="140"/>
    </row>
    <row r="627" spans="30:41">
      <c r="AD627" s="140"/>
      <c r="AE627" s="140"/>
      <c r="AF627" s="140"/>
      <c r="AG627" s="140"/>
      <c r="AH627" s="140"/>
      <c r="AI627" s="140"/>
      <c r="AJ627" s="140"/>
      <c r="AK627" s="140"/>
      <c r="AL627" s="140"/>
      <c r="AM627" s="140"/>
      <c r="AN627" s="140"/>
      <c r="AO627" s="140"/>
    </row>
    <row r="628" spans="30:41">
      <c r="AD628" s="140"/>
      <c r="AE628" s="140"/>
      <c r="AF628" s="140"/>
      <c r="AG628" s="140"/>
      <c r="AH628" s="140"/>
      <c r="AI628" s="140"/>
      <c r="AJ628" s="140"/>
      <c r="AK628" s="140"/>
      <c r="AL628" s="140"/>
      <c r="AM628" s="140"/>
      <c r="AN628" s="140"/>
      <c r="AO628" s="140"/>
    </row>
    <row r="629" spans="30:41">
      <c r="AD629" s="140"/>
      <c r="AE629" s="140"/>
      <c r="AF629" s="140"/>
      <c r="AG629" s="140"/>
      <c r="AH629" s="140"/>
      <c r="AI629" s="140"/>
      <c r="AJ629" s="140"/>
      <c r="AK629" s="140"/>
      <c r="AL629" s="140"/>
      <c r="AM629" s="140"/>
      <c r="AN629" s="140"/>
      <c r="AO629" s="140"/>
    </row>
    <row r="630" spans="30:41">
      <c r="AD630" s="140"/>
      <c r="AE630" s="140"/>
      <c r="AF630" s="140"/>
      <c r="AG630" s="140"/>
      <c r="AH630" s="140"/>
      <c r="AI630" s="140"/>
      <c r="AJ630" s="140"/>
      <c r="AK630" s="140"/>
      <c r="AL630" s="140"/>
      <c r="AM630" s="140"/>
      <c r="AN630" s="140"/>
      <c r="AO630" s="140"/>
    </row>
    <row r="631" spans="30:41">
      <c r="AD631" s="140"/>
      <c r="AE631" s="140"/>
      <c r="AF631" s="140"/>
      <c r="AG631" s="140"/>
      <c r="AH631" s="140"/>
      <c r="AI631" s="140"/>
      <c r="AJ631" s="140"/>
      <c r="AK631" s="140"/>
      <c r="AL631" s="140"/>
      <c r="AM631" s="140"/>
      <c r="AN631" s="140"/>
      <c r="AO631" s="140"/>
    </row>
    <row r="632" spans="30:41">
      <c r="AD632" s="140"/>
      <c r="AE632" s="140"/>
      <c r="AF632" s="140"/>
      <c r="AG632" s="140"/>
      <c r="AH632" s="140"/>
      <c r="AI632" s="140"/>
      <c r="AJ632" s="140"/>
      <c r="AK632" s="140"/>
      <c r="AL632" s="140"/>
      <c r="AM632" s="140"/>
      <c r="AN632" s="140"/>
      <c r="AO632" s="140"/>
    </row>
    <row r="633" spans="30:41">
      <c r="AD633" s="140"/>
      <c r="AE633" s="140"/>
      <c r="AF633" s="140"/>
      <c r="AG633" s="140"/>
      <c r="AH633" s="140"/>
      <c r="AI633" s="140"/>
      <c r="AJ633" s="140"/>
      <c r="AK633" s="140"/>
      <c r="AL633" s="140"/>
      <c r="AM633" s="140"/>
      <c r="AN633" s="140"/>
      <c r="AO633" s="140"/>
    </row>
    <row r="634" spans="30:41">
      <c r="AD634" s="140"/>
      <c r="AE634" s="140"/>
      <c r="AF634" s="140"/>
      <c r="AG634" s="140"/>
      <c r="AH634" s="140"/>
      <c r="AI634" s="140"/>
      <c r="AJ634" s="140"/>
      <c r="AK634" s="140"/>
      <c r="AL634" s="140"/>
      <c r="AM634" s="140"/>
      <c r="AN634" s="140"/>
      <c r="AO634" s="140"/>
    </row>
    <row r="635" spans="30:41">
      <c r="AD635" s="140"/>
      <c r="AE635" s="140"/>
      <c r="AF635" s="140"/>
      <c r="AG635" s="140"/>
      <c r="AH635" s="140"/>
      <c r="AI635" s="140"/>
      <c r="AJ635" s="140"/>
      <c r="AK635" s="140"/>
      <c r="AL635" s="140"/>
      <c r="AM635" s="140"/>
      <c r="AN635" s="140"/>
      <c r="AO635" s="140"/>
    </row>
    <row r="636" spans="30:41">
      <c r="AD636" s="140"/>
      <c r="AE636" s="140"/>
      <c r="AF636" s="140"/>
      <c r="AG636" s="140"/>
      <c r="AH636" s="140"/>
      <c r="AI636" s="140"/>
      <c r="AJ636" s="140"/>
      <c r="AK636" s="140"/>
      <c r="AL636" s="140"/>
      <c r="AM636" s="140"/>
      <c r="AN636" s="140"/>
      <c r="AO636" s="140"/>
    </row>
    <row r="637" spans="30:41">
      <c r="AD637" s="140"/>
      <c r="AE637" s="140"/>
      <c r="AF637" s="140"/>
      <c r="AG637" s="140"/>
      <c r="AH637" s="140"/>
      <c r="AI637" s="140"/>
      <c r="AJ637" s="140"/>
      <c r="AK637" s="140"/>
      <c r="AL637" s="140"/>
      <c r="AM637" s="140"/>
      <c r="AN637" s="140"/>
      <c r="AO637" s="140"/>
    </row>
    <row r="638" spans="30:41">
      <c r="AD638" s="140"/>
      <c r="AE638" s="140"/>
      <c r="AF638" s="140"/>
      <c r="AG638" s="140"/>
      <c r="AH638" s="140"/>
      <c r="AI638" s="140"/>
      <c r="AJ638" s="140"/>
      <c r="AK638" s="140"/>
      <c r="AL638" s="140"/>
      <c r="AM638" s="140"/>
      <c r="AN638" s="140"/>
      <c r="AO638" s="140"/>
    </row>
    <row r="639" spans="30:41">
      <c r="AD639" s="140"/>
      <c r="AE639" s="140"/>
      <c r="AF639" s="140"/>
      <c r="AG639" s="140"/>
      <c r="AH639" s="140"/>
      <c r="AI639" s="140"/>
      <c r="AJ639" s="140"/>
      <c r="AK639" s="140"/>
      <c r="AL639" s="140"/>
      <c r="AM639" s="140"/>
      <c r="AN639" s="140"/>
      <c r="AO639" s="140"/>
    </row>
    <row r="640" spans="30:41">
      <c r="AD640" s="140"/>
      <c r="AE640" s="140"/>
      <c r="AF640" s="140"/>
      <c r="AG640" s="140"/>
      <c r="AH640" s="140"/>
      <c r="AI640" s="140"/>
      <c r="AJ640" s="140"/>
      <c r="AK640" s="140"/>
      <c r="AL640" s="140"/>
      <c r="AM640" s="140"/>
      <c r="AN640" s="140"/>
      <c r="AO640" s="140"/>
    </row>
    <row r="641" spans="30:41">
      <c r="AD641" s="140"/>
      <c r="AE641" s="140"/>
      <c r="AF641" s="140"/>
      <c r="AG641" s="140"/>
      <c r="AH641" s="140"/>
      <c r="AI641" s="140"/>
      <c r="AJ641" s="140"/>
      <c r="AK641" s="140"/>
      <c r="AL641" s="140"/>
      <c r="AM641" s="140"/>
      <c r="AN641" s="140"/>
      <c r="AO641" s="140"/>
    </row>
    <row r="642" spans="30:41">
      <c r="AD642" s="140"/>
      <c r="AE642" s="140"/>
      <c r="AF642" s="140"/>
      <c r="AG642" s="140"/>
      <c r="AH642" s="140"/>
      <c r="AI642" s="140"/>
      <c r="AJ642" s="140"/>
      <c r="AK642" s="140"/>
      <c r="AL642" s="140"/>
      <c r="AM642" s="140"/>
      <c r="AN642" s="140"/>
      <c r="AO642" s="140"/>
    </row>
    <row r="643" spans="30:41">
      <c r="AD643" s="140"/>
      <c r="AE643" s="140"/>
      <c r="AF643" s="140"/>
      <c r="AG643" s="140"/>
      <c r="AH643" s="140"/>
      <c r="AI643" s="140"/>
      <c r="AJ643" s="140"/>
      <c r="AK643" s="140"/>
      <c r="AL643" s="140"/>
      <c r="AM643" s="140"/>
      <c r="AN643" s="140"/>
      <c r="AO643" s="140"/>
    </row>
    <row r="644" spans="30:41">
      <c r="AD644" s="140"/>
      <c r="AE644" s="140"/>
      <c r="AF644" s="140"/>
      <c r="AG644" s="140"/>
      <c r="AH644" s="140"/>
      <c r="AI644" s="140"/>
      <c r="AJ644" s="140"/>
      <c r="AK644" s="140"/>
      <c r="AL644" s="140"/>
      <c r="AM644" s="140"/>
      <c r="AN644" s="140"/>
      <c r="AO644" s="140"/>
    </row>
    <row r="645" spans="30:41">
      <c r="AD645" s="140"/>
      <c r="AE645" s="140"/>
      <c r="AF645" s="140"/>
      <c r="AG645" s="140"/>
      <c r="AH645" s="140"/>
      <c r="AI645" s="140"/>
      <c r="AJ645" s="140"/>
      <c r="AK645" s="140"/>
      <c r="AL645" s="140"/>
      <c r="AM645" s="140"/>
      <c r="AN645" s="140"/>
      <c r="AO645" s="140"/>
    </row>
    <row r="646" spans="30:41">
      <c r="AD646" s="140"/>
      <c r="AE646" s="140"/>
      <c r="AF646" s="140"/>
      <c r="AG646" s="140"/>
      <c r="AH646" s="140"/>
      <c r="AI646" s="140"/>
      <c r="AJ646" s="140"/>
      <c r="AK646" s="140"/>
      <c r="AL646" s="140"/>
      <c r="AM646" s="140"/>
      <c r="AN646" s="140"/>
      <c r="AO646" s="140"/>
    </row>
    <row r="647" spans="30:41">
      <c r="AD647" s="140"/>
      <c r="AE647" s="140"/>
      <c r="AF647" s="140"/>
      <c r="AG647" s="140"/>
      <c r="AH647" s="140"/>
      <c r="AI647" s="140"/>
      <c r="AJ647" s="140"/>
      <c r="AK647" s="140"/>
      <c r="AL647" s="140"/>
      <c r="AM647" s="140"/>
      <c r="AN647" s="140"/>
      <c r="AO647" s="140"/>
    </row>
    <row r="648" spans="30:41">
      <c r="AD648" s="140"/>
      <c r="AE648" s="140"/>
      <c r="AF648" s="140"/>
      <c r="AG648" s="140"/>
      <c r="AH648" s="140"/>
      <c r="AI648" s="140"/>
      <c r="AJ648" s="140"/>
      <c r="AK648" s="140"/>
      <c r="AL648" s="140"/>
      <c r="AM648" s="140"/>
      <c r="AN648" s="140"/>
      <c r="AO648" s="140"/>
    </row>
    <row r="649" spans="30:41">
      <c r="AD649" s="140"/>
      <c r="AE649" s="140"/>
      <c r="AF649" s="140"/>
      <c r="AG649" s="140"/>
      <c r="AH649" s="140"/>
      <c r="AI649" s="140"/>
      <c r="AJ649" s="140"/>
      <c r="AK649" s="140"/>
      <c r="AL649" s="140"/>
      <c r="AM649" s="140"/>
      <c r="AN649" s="140"/>
      <c r="AO649" s="140"/>
    </row>
    <row r="650" spans="30:41">
      <c r="AD650" s="140"/>
      <c r="AE650" s="140"/>
      <c r="AF650" s="140"/>
      <c r="AG650" s="140"/>
      <c r="AH650" s="140"/>
      <c r="AI650" s="140"/>
      <c r="AJ650" s="140"/>
      <c r="AK650" s="140"/>
      <c r="AL650" s="140"/>
      <c r="AM650" s="140"/>
      <c r="AN650" s="140"/>
      <c r="AO650" s="140"/>
    </row>
    <row r="651" spans="30:41">
      <c r="AD651" s="140"/>
      <c r="AE651" s="140"/>
      <c r="AF651" s="140"/>
      <c r="AG651" s="140"/>
      <c r="AH651" s="140"/>
      <c r="AI651" s="140"/>
      <c r="AJ651" s="140"/>
      <c r="AK651" s="140"/>
      <c r="AL651" s="140"/>
      <c r="AM651" s="140"/>
      <c r="AN651" s="140"/>
      <c r="AO651" s="140"/>
    </row>
    <row r="652" spans="30:41">
      <c r="AD652" s="140"/>
      <c r="AE652" s="140"/>
      <c r="AF652" s="140"/>
      <c r="AG652" s="140"/>
      <c r="AH652" s="140"/>
      <c r="AI652" s="140"/>
      <c r="AJ652" s="140"/>
      <c r="AK652" s="140"/>
      <c r="AL652" s="140"/>
      <c r="AM652" s="140"/>
      <c r="AN652" s="140"/>
      <c r="AO652" s="140"/>
    </row>
    <row r="653" spans="30:41">
      <c r="AD653" s="140"/>
      <c r="AE653" s="140"/>
      <c r="AF653" s="140"/>
      <c r="AG653" s="140"/>
      <c r="AH653" s="140"/>
      <c r="AI653" s="140"/>
      <c r="AJ653" s="140"/>
      <c r="AK653" s="140"/>
      <c r="AL653" s="140"/>
      <c r="AM653" s="140"/>
      <c r="AN653" s="140"/>
      <c r="AO653" s="140"/>
    </row>
    <row r="654" spans="30:41">
      <c r="AD654" s="140"/>
      <c r="AE654" s="140"/>
      <c r="AF654" s="140"/>
      <c r="AG654" s="140"/>
      <c r="AH654" s="140"/>
      <c r="AI654" s="140"/>
      <c r="AJ654" s="140"/>
      <c r="AK654" s="140"/>
      <c r="AL654" s="140"/>
      <c r="AM654" s="140"/>
      <c r="AN654" s="140"/>
      <c r="AO654" s="140"/>
    </row>
    <row r="655" spans="30:41">
      <c r="AD655" s="140"/>
      <c r="AE655" s="140"/>
      <c r="AF655" s="140"/>
      <c r="AG655" s="140"/>
      <c r="AH655" s="140"/>
      <c r="AI655" s="140"/>
      <c r="AJ655" s="140"/>
      <c r="AK655" s="140"/>
      <c r="AL655" s="140"/>
      <c r="AM655" s="140"/>
      <c r="AN655" s="140"/>
      <c r="AO655" s="140"/>
    </row>
    <row r="656" spans="30:41">
      <c r="AD656" s="140"/>
      <c r="AE656" s="140"/>
      <c r="AF656" s="140"/>
      <c r="AG656" s="140"/>
      <c r="AH656" s="140"/>
      <c r="AI656" s="140"/>
      <c r="AJ656" s="140"/>
      <c r="AK656" s="140"/>
      <c r="AL656" s="140"/>
      <c r="AM656" s="140"/>
      <c r="AN656" s="140"/>
      <c r="AO656" s="140"/>
    </row>
    <row r="657" spans="30:41">
      <c r="AD657" s="140"/>
      <c r="AE657" s="140"/>
      <c r="AF657" s="140"/>
      <c r="AG657" s="140"/>
      <c r="AH657" s="140"/>
      <c r="AI657" s="140"/>
      <c r="AJ657" s="140"/>
      <c r="AK657" s="140"/>
      <c r="AL657" s="140"/>
      <c r="AM657" s="140"/>
      <c r="AN657" s="140"/>
      <c r="AO657" s="140"/>
    </row>
    <row r="658" spans="30:41">
      <c r="AD658" s="140"/>
      <c r="AE658" s="140"/>
      <c r="AF658" s="140"/>
      <c r="AG658" s="140"/>
      <c r="AH658" s="140"/>
      <c r="AI658" s="140"/>
      <c r="AJ658" s="140"/>
      <c r="AK658" s="140"/>
      <c r="AL658" s="140"/>
      <c r="AM658" s="140"/>
      <c r="AN658" s="140"/>
      <c r="AO658" s="140"/>
    </row>
    <row r="659" spans="30:41">
      <c r="AD659" s="140"/>
      <c r="AE659" s="140"/>
      <c r="AF659" s="140"/>
      <c r="AG659" s="140"/>
      <c r="AH659" s="140"/>
      <c r="AI659" s="140"/>
      <c r="AJ659" s="140"/>
      <c r="AK659" s="140"/>
      <c r="AL659" s="140"/>
      <c r="AM659" s="140"/>
      <c r="AN659" s="140"/>
      <c r="AO659" s="140"/>
    </row>
    <row r="660" spans="30:41">
      <c r="AD660" s="140"/>
      <c r="AE660" s="140"/>
      <c r="AF660" s="140"/>
      <c r="AG660" s="140"/>
      <c r="AH660" s="140"/>
      <c r="AI660" s="140"/>
      <c r="AJ660" s="140"/>
      <c r="AK660" s="140"/>
      <c r="AL660" s="140"/>
      <c r="AM660" s="140"/>
      <c r="AN660" s="140"/>
      <c r="AO660" s="140"/>
    </row>
    <row r="661" spans="30:41">
      <c r="AD661" s="140"/>
      <c r="AE661" s="140"/>
      <c r="AF661" s="140"/>
      <c r="AG661" s="140"/>
      <c r="AH661" s="140"/>
      <c r="AI661" s="140"/>
      <c r="AJ661" s="140"/>
      <c r="AK661" s="140"/>
      <c r="AL661" s="140"/>
      <c r="AM661" s="140"/>
      <c r="AN661" s="140"/>
      <c r="AO661" s="140"/>
    </row>
    <row r="662" spans="30:41">
      <c r="AD662" s="140"/>
      <c r="AE662" s="140"/>
      <c r="AF662" s="140"/>
      <c r="AG662" s="140"/>
      <c r="AH662" s="140"/>
      <c r="AI662" s="140"/>
      <c r="AJ662" s="140"/>
      <c r="AK662" s="140"/>
      <c r="AL662" s="140"/>
      <c r="AM662" s="140"/>
      <c r="AN662" s="140"/>
      <c r="AO662" s="140"/>
    </row>
    <row r="663" spans="30:41">
      <c r="AD663" s="140"/>
      <c r="AE663" s="140"/>
      <c r="AF663" s="140"/>
      <c r="AG663" s="140"/>
      <c r="AH663" s="140"/>
      <c r="AI663" s="140"/>
      <c r="AJ663" s="140"/>
      <c r="AK663" s="140"/>
      <c r="AL663" s="140"/>
      <c r="AM663" s="140"/>
      <c r="AN663" s="140"/>
      <c r="AO663" s="140"/>
    </row>
    <row r="664" spans="30:41">
      <c r="AD664" s="140"/>
      <c r="AE664" s="140"/>
      <c r="AF664" s="140"/>
      <c r="AG664" s="140"/>
      <c r="AH664" s="140"/>
      <c r="AI664" s="140"/>
      <c r="AJ664" s="140"/>
      <c r="AK664" s="140"/>
      <c r="AL664" s="140"/>
      <c r="AM664" s="140"/>
      <c r="AN664" s="140"/>
      <c r="AO664" s="140"/>
    </row>
    <row r="665" spans="30:41">
      <c r="AD665" s="140"/>
      <c r="AE665" s="140"/>
      <c r="AF665" s="140"/>
      <c r="AG665" s="140"/>
      <c r="AH665" s="140"/>
      <c r="AI665" s="140"/>
      <c r="AJ665" s="140"/>
      <c r="AK665" s="140"/>
      <c r="AL665" s="140"/>
      <c r="AM665" s="140"/>
      <c r="AN665" s="140"/>
      <c r="AO665" s="140"/>
    </row>
    <row r="666" spans="30:41">
      <c r="AD666" s="140"/>
      <c r="AE666" s="140"/>
      <c r="AF666" s="140"/>
      <c r="AG666" s="140"/>
      <c r="AH666" s="140"/>
      <c r="AI666" s="140"/>
      <c r="AJ666" s="140"/>
      <c r="AK666" s="140"/>
      <c r="AL666" s="140"/>
      <c r="AM666" s="140"/>
      <c r="AN666" s="140"/>
      <c r="AO666" s="140"/>
    </row>
    <row r="667" spans="30:41">
      <c r="AD667" s="140"/>
      <c r="AE667" s="140"/>
      <c r="AF667" s="140"/>
      <c r="AG667" s="140"/>
      <c r="AH667" s="140"/>
      <c r="AI667" s="140"/>
      <c r="AJ667" s="140"/>
      <c r="AK667" s="140"/>
      <c r="AL667" s="140"/>
      <c r="AM667" s="140"/>
      <c r="AN667" s="140"/>
      <c r="AO667" s="140"/>
    </row>
    <row r="668" spans="30:41">
      <c r="AD668" s="140"/>
      <c r="AE668" s="140"/>
      <c r="AF668" s="140"/>
      <c r="AG668" s="140"/>
      <c r="AH668" s="140"/>
      <c r="AI668" s="140"/>
      <c r="AJ668" s="140"/>
      <c r="AK668" s="140"/>
      <c r="AL668" s="140"/>
      <c r="AM668" s="140"/>
      <c r="AN668" s="140"/>
      <c r="AO668" s="140"/>
    </row>
    <row r="669" spans="30:41">
      <c r="AD669" s="140"/>
      <c r="AE669" s="140"/>
      <c r="AF669" s="140"/>
      <c r="AG669" s="140"/>
      <c r="AH669" s="140"/>
      <c r="AI669" s="140"/>
      <c r="AJ669" s="140"/>
      <c r="AK669" s="140"/>
      <c r="AL669" s="140"/>
      <c r="AM669" s="140"/>
      <c r="AN669" s="140"/>
      <c r="AO669" s="140"/>
    </row>
    <row r="670" spans="30:41">
      <c r="AD670" s="140"/>
      <c r="AE670" s="140"/>
      <c r="AF670" s="140"/>
      <c r="AG670" s="140"/>
      <c r="AH670" s="140"/>
      <c r="AI670" s="140"/>
      <c r="AJ670" s="140"/>
      <c r="AK670" s="140"/>
      <c r="AL670" s="140"/>
      <c r="AM670" s="140"/>
      <c r="AN670" s="140"/>
      <c r="AO670" s="140"/>
    </row>
    <row r="671" spans="30:41">
      <c r="AD671" s="140"/>
      <c r="AE671" s="140"/>
      <c r="AF671" s="140"/>
      <c r="AG671" s="140"/>
      <c r="AH671" s="140"/>
      <c r="AI671" s="140"/>
      <c r="AJ671" s="140"/>
      <c r="AK671" s="140"/>
      <c r="AL671" s="140"/>
      <c r="AM671" s="140"/>
      <c r="AN671" s="140"/>
      <c r="AO671" s="140"/>
    </row>
    <row r="672" spans="30:41">
      <c r="AD672" s="140"/>
      <c r="AE672" s="140"/>
      <c r="AF672" s="140"/>
      <c r="AG672" s="140"/>
      <c r="AH672" s="140"/>
      <c r="AI672" s="140"/>
      <c r="AJ672" s="140"/>
      <c r="AK672" s="140"/>
      <c r="AL672" s="140"/>
      <c r="AM672" s="140"/>
      <c r="AN672" s="140"/>
      <c r="AO672" s="140"/>
    </row>
    <row r="673" spans="30:41">
      <c r="AD673" s="140"/>
      <c r="AE673" s="140"/>
      <c r="AF673" s="140"/>
      <c r="AG673" s="140"/>
      <c r="AH673" s="140"/>
      <c r="AI673" s="140"/>
      <c r="AJ673" s="140"/>
      <c r="AK673" s="140"/>
      <c r="AL673" s="140"/>
      <c r="AM673" s="140"/>
      <c r="AN673" s="140"/>
      <c r="AO673" s="140"/>
    </row>
    <row r="674" spans="30:41">
      <c r="AD674" s="140"/>
      <c r="AE674" s="140"/>
      <c r="AF674" s="140"/>
      <c r="AG674" s="140"/>
      <c r="AH674" s="140"/>
      <c r="AI674" s="140"/>
      <c r="AJ674" s="140"/>
      <c r="AK674" s="140"/>
      <c r="AL674" s="140"/>
      <c r="AM674" s="140"/>
      <c r="AN674" s="140"/>
      <c r="AO674" s="140"/>
    </row>
    <row r="675" spans="30:41">
      <c r="AD675" s="140"/>
      <c r="AE675" s="140"/>
      <c r="AF675" s="140"/>
      <c r="AG675" s="140"/>
      <c r="AH675" s="140"/>
      <c r="AI675" s="140"/>
      <c r="AJ675" s="140"/>
      <c r="AK675" s="140"/>
      <c r="AL675" s="140"/>
      <c r="AM675" s="140"/>
      <c r="AN675" s="140"/>
      <c r="AO675" s="140"/>
    </row>
    <row r="676" spans="30:41">
      <c r="AD676" s="140"/>
      <c r="AE676" s="140"/>
      <c r="AF676" s="140"/>
      <c r="AG676" s="140"/>
      <c r="AH676" s="140"/>
      <c r="AI676" s="140"/>
      <c r="AJ676" s="140"/>
      <c r="AK676" s="140"/>
      <c r="AL676" s="140"/>
      <c r="AM676" s="140"/>
      <c r="AN676" s="140"/>
      <c r="AO676" s="140"/>
    </row>
    <row r="677" spans="30:41">
      <c r="AD677" s="140"/>
      <c r="AE677" s="140"/>
      <c r="AF677" s="140"/>
      <c r="AG677" s="140"/>
      <c r="AH677" s="140"/>
      <c r="AI677" s="140"/>
      <c r="AJ677" s="140"/>
      <c r="AK677" s="140"/>
      <c r="AL677" s="140"/>
      <c r="AM677" s="140"/>
      <c r="AN677" s="140"/>
      <c r="AO677" s="140"/>
    </row>
    <row r="678" spans="30:41">
      <c r="AD678" s="140"/>
      <c r="AE678" s="140"/>
      <c r="AF678" s="140"/>
      <c r="AG678" s="140"/>
      <c r="AH678" s="140"/>
      <c r="AI678" s="140"/>
      <c r="AJ678" s="140"/>
      <c r="AK678" s="140"/>
      <c r="AL678" s="140"/>
      <c r="AM678" s="140"/>
      <c r="AN678" s="140"/>
      <c r="AO678" s="140"/>
    </row>
    <row r="679" spans="30:41">
      <c r="AD679" s="140"/>
      <c r="AE679" s="140"/>
      <c r="AF679" s="140"/>
      <c r="AG679" s="140"/>
      <c r="AH679" s="140"/>
      <c r="AI679" s="140"/>
      <c r="AJ679" s="140"/>
      <c r="AK679" s="140"/>
      <c r="AL679" s="140"/>
      <c r="AM679" s="140"/>
      <c r="AN679" s="140"/>
      <c r="AO679" s="140"/>
    </row>
    <row r="680" spans="30:41">
      <c r="AD680" s="140"/>
      <c r="AE680" s="140"/>
      <c r="AF680" s="140"/>
      <c r="AG680" s="140"/>
      <c r="AH680" s="140"/>
      <c r="AI680" s="140"/>
      <c r="AJ680" s="140"/>
      <c r="AK680" s="140"/>
      <c r="AL680" s="140"/>
      <c r="AM680" s="140"/>
      <c r="AN680" s="140"/>
      <c r="AO680" s="140"/>
    </row>
    <row r="681" spans="30:41">
      <c r="AD681" s="140"/>
      <c r="AE681" s="140"/>
      <c r="AF681" s="140"/>
      <c r="AG681" s="140"/>
      <c r="AH681" s="140"/>
      <c r="AI681" s="140"/>
      <c r="AJ681" s="140"/>
      <c r="AK681" s="140"/>
      <c r="AL681" s="140"/>
      <c r="AM681" s="140"/>
      <c r="AN681" s="140"/>
      <c r="AO681" s="140"/>
    </row>
    <row r="682" spans="30:41">
      <c r="AD682" s="140"/>
      <c r="AE682" s="140"/>
      <c r="AF682" s="140"/>
      <c r="AG682" s="140"/>
      <c r="AH682" s="140"/>
      <c r="AI682" s="140"/>
      <c r="AJ682" s="140"/>
      <c r="AK682" s="140"/>
      <c r="AL682" s="140"/>
      <c r="AM682" s="140"/>
      <c r="AN682" s="140"/>
      <c r="AO682" s="140"/>
    </row>
    <row r="683" spans="30:41">
      <c r="AD683" s="140"/>
      <c r="AE683" s="140"/>
      <c r="AF683" s="140"/>
      <c r="AG683" s="140"/>
      <c r="AH683" s="140"/>
      <c r="AI683" s="140"/>
      <c r="AJ683" s="140"/>
      <c r="AK683" s="140"/>
      <c r="AL683" s="140"/>
      <c r="AM683" s="140"/>
      <c r="AN683" s="140"/>
      <c r="AO683" s="140"/>
    </row>
    <row r="684" spans="30:41">
      <c r="AD684" s="140"/>
      <c r="AE684" s="140"/>
      <c r="AF684" s="140"/>
      <c r="AG684" s="140"/>
      <c r="AH684" s="140"/>
      <c r="AI684" s="140"/>
      <c r="AJ684" s="140"/>
      <c r="AK684" s="140"/>
      <c r="AL684" s="140"/>
      <c r="AM684" s="140"/>
      <c r="AN684" s="140"/>
      <c r="AO684" s="140"/>
    </row>
    <row r="685" spans="30:41">
      <c r="AD685" s="140"/>
      <c r="AE685" s="140"/>
      <c r="AF685" s="140"/>
      <c r="AG685" s="140"/>
      <c r="AH685" s="140"/>
      <c r="AI685" s="140"/>
      <c r="AJ685" s="140"/>
      <c r="AK685" s="140"/>
      <c r="AL685" s="140"/>
      <c r="AM685" s="140"/>
      <c r="AN685" s="140"/>
      <c r="AO685" s="140"/>
    </row>
    <row r="686" spans="30:41">
      <c r="AD686" s="140"/>
      <c r="AE686" s="140"/>
      <c r="AF686" s="140"/>
      <c r="AG686" s="140"/>
      <c r="AH686" s="140"/>
      <c r="AI686" s="140"/>
      <c r="AJ686" s="140"/>
      <c r="AK686" s="140"/>
      <c r="AL686" s="140"/>
      <c r="AM686" s="140"/>
      <c r="AN686" s="140"/>
      <c r="AO686" s="140"/>
    </row>
    <row r="687" spans="30:41">
      <c r="AD687" s="140"/>
      <c r="AE687" s="140"/>
      <c r="AF687" s="140"/>
      <c r="AG687" s="140"/>
      <c r="AH687" s="140"/>
      <c r="AI687" s="140"/>
      <c r="AJ687" s="140"/>
      <c r="AK687" s="140"/>
      <c r="AL687" s="140"/>
      <c r="AM687" s="140"/>
      <c r="AN687" s="140"/>
      <c r="AO687" s="140"/>
    </row>
    <row r="688" spans="30:41">
      <c r="AD688" s="140"/>
      <c r="AE688" s="140"/>
      <c r="AF688" s="140"/>
      <c r="AG688" s="140"/>
      <c r="AH688" s="140"/>
      <c r="AI688" s="140"/>
      <c r="AJ688" s="140"/>
      <c r="AK688" s="140"/>
      <c r="AL688" s="140"/>
      <c r="AM688" s="140"/>
      <c r="AN688" s="140"/>
      <c r="AO688" s="140"/>
    </row>
    <row r="689" spans="30:41">
      <c r="AD689" s="140"/>
      <c r="AE689" s="140"/>
      <c r="AF689" s="140"/>
      <c r="AG689" s="140"/>
      <c r="AH689" s="140"/>
      <c r="AI689" s="140"/>
      <c r="AJ689" s="140"/>
      <c r="AK689" s="140"/>
      <c r="AL689" s="140"/>
      <c r="AM689" s="140"/>
      <c r="AN689" s="140"/>
      <c r="AO689" s="140"/>
    </row>
    <row r="690" spans="30:41">
      <c r="AD690" s="140"/>
      <c r="AE690" s="140"/>
      <c r="AF690" s="140"/>
      <c r="AG690" s="140"/>
      <c r="AH690" s="140"/>
      <c r="AI690" s="140"/>
      <c r="AJ690" s="140"/>
      <c r="AK690" s="140"/>
      <c r="AL690" s="140"/>
      <c r="AM690" s="140"/>
      <c r="AN690" s="140"/>
      <c r="AO690" s="140"/>
    </row>
    <row r="691" spans="30:41">
      <c r="AD691" s="140"/>
      <c r="AE691" s="140"/>
      <c r="AF691" s="140"/>
      <c r="AG691" s="140"/>
      <c r="AH691" s="140"/>
      <c r="AI691" s="140"/>
      <c r="AJ691" s="140"/>
      <c r="AK691" s="140"/>
      <c r="AL691" s="140"/>
      <c r="AM691" s="140"/>
      <c r="AN691" s="140"/>
      <c r="AO691" s="140"/>
    </row>
    <row r="692" spans="30:41">
      <c r="AD692" s="140"/>
      <c r="AE692" s="140"/>
      <c r="AF692" s="140"/>
      <c r="AG692" s="140"/>
      <c r="AH692" s="140"/>
      <c r="AI692" s="140"/>
      <c r="AJ692" s="140"/>
      <c r="AK692" s="140"/>
      <c r="AL692" s="140"/>
      <c r="AM692" s="140"/>
      <c r="AN692" s="140"/>
      <c r="AO692" s="140"/>
    </row>
    <row r="693" spans="30:41">
      <c r="AD693" s="140"/>
      <c r="AE693" s="140"/>
      <c r="AF693" s="140"/>
      <c r="AG693" s="140"/>
      <c r="AH693" s="140"/>
      <c r="AI693" s="140"/>
      <c r="AJ693" s="140"/>
      <c r="AK693" s="140"/>
      <c r="AL693" s="140"/>
      <c r="AM693" s="140"/>
      <c r="AN693" s="140"/>
      <c r="AO693" s="140"/>
    </row>
    <row r="694" spans="30:41">
      <c r="AD694" s="140"/>
      <c r="AE694" s="140"/>
      <c r="AF694" s="140"/>
      <c r="AG694" s="140"/>
      <c r="AH694" s="140"/>
      <c r="AI694" s="140"/>
      <c r="AJ694" s="140"/>
      <c r="AK694" s="140"/>
      <c r="AL694" s="140"/>
      <c r="AM694" s="140"/>
      <c r="AN694" s="140"/>
      <c r="AO694" s="140"/>
    </row>
    <row r="695" spans="30:41">
      <c r="AD695" s="140"/>
      <c r="AE695" s="140"/>
      <c r="AF695" s="140"/>
      <c r="AG695" s="140"/>
      <c r="AH695" s="140"/>
      <c r="AI695" s="140"/>
      <c r="AJ695" s="140"/>
      <c r="AK695" s="140"/>
      <c r="AL695" s="140"/>
      <c r="AM695" s="140"/>
      <c r="AN695" s="140"/>
      <c r="AO695" s="140"/>
    </row>
    <row r="696" spans="30:41">
      <c r="AD696" s="140"/>
      <c r="AE696" s="140"/>
      <c r="AF696" s="140"/>
      <c r="AG696" s="140"/>
      <c r="AH696" s="140"/>
      <c r="AI696" s="140"/>
      <c r="AJ696" s="140"/>
      <c r="AK696" s="140"/>
      <c r="AL696" s="140"/>
      <c r="AM696" s="140"/>
      <c r="AN696" s="140"/>
      <c r="AO696" s="140"/>
    </row>
    <row r="697" spans="30:41">
      <c r="AD697" s="140"/>
      <c r="AE697" s="140"/>
      <c r="AF697" s="140"/>
      <c r="AG697" s="140"/>
      <c r="AH697" s="140"/>
      <c r="AI697" s="140"/>
      <c r="AJ697" s="140"/>
      <c r="AK697" s="140"/>
      <c r="AL697" s="140"/>
      <c r="AM697" s="140"/>
      <c r="AN697" s="140"/>
      <c r="AO697" s="140"/>
    </row>
    <row r="698" spans="30:41">
      <c r="AD698" s="140"/>
      <c r="AE698" s="140"/>
      <c r="AF698" s="140"/>
      <c r="AG698" s="140"/>
      <c r="AH698" s="140"/>
      <c r="AI698" s="140"/>
      <c r="AJ698" s="140"/>
      <c r="AK698" s="140"/>
      <c r="AL698" s="140"/>
      <c r="AM698" s="140"/>
      <c r="AN698" s="140"/>
      <c r="AO698" s="140"/>
    </row>
    <row r="699" spans="30:41">
      <c r="AD699" s="140"/>
      <c r="AE699" s="140"/>
      <c r="AF699" s="140"/>
      <c r="AG699" s="140"/>
      <c r="AH699" s="140"/>
      <c r="AI699" s="140"/>
      <c r="AJ699" s="140"/>
      <c r="AK699" s="140"/>
      <c r="AL699" s="140"/>
      <c r="AM699" s="140"/>
      <c r="AN699" s="140"/>
      <c r="AO699" s="140"/>
    </row>
    <row r="700" spans="30:41">
      <c r="AD700" s="140"/>
      <c r="AE700" s="140"/>
      <c r="AF700" s="140"/>
      <c r="AG700" s="140"/>
      <c r="AH700" s="140"/>
      <c r="AI700" s="140"/>
      <c r="AJ700" s="140"/>
      <c r="AK700" s="140"/>
      <c r="AL700" s="140"/>
      <c r="AM700" s="140"/>
      <c r="AN700" s="140"/>
      <c r="AO700" s="140"/>
    </row>
    <row r="701" spans="30:41">
      <c r="AD701" s="140"/>
      <c r="AE701" s="140"/>
      <c r="AF701" s="140"/>
      <c r="AG701" s="140"/>
      <c r="AH701" s="140"/>
      <c r="AI701" s="140"/>
      <c r="AJ701" s="140"/>
      <c r="AK701" s="140"/>
      <c r="AL701" s="140"/>
      <c r="AM701" s="140"/>
      <c r="AN701" s="140"/>
      <c r="AO701" s="140"/>
    </row>
    <row r="702" spans="30:41">
      <c r="AD702" s="140"/>
      <c r="AE702" s="140"/>
      <c r="AF702" s="140"/>
      <c r="AG702" s="140"/>
      <c r="AH702" s="140"/>
      <c r="AI702" s="140"/>
      <c r="AJ702" s="140"/>
      <c r="AK702" s="140"/>
      <c r="AL702" s="140"/>
      <c r="AM702" s="140"/>
      <c r="AN702" s="140"/>
      <c r="AO702" s="140"/>
    </row>
    <row r="703" spans="30:41">
      <c r="AD703" s="140"/>
      <c r="AE703" s="140"/>
      <c r="AF703" s="140"/>
      <c r="AG703" s="140"/>
      <c r="AH703" s="140"/>
      <c r="AI703" s="140"/>
      <c r="AJ703" s="140"/>
      <c r="AK703" s="140"/>
      <c r="AL703" s="140"/>
      <c r="AM703" s="140"/>
      <c r="AN703" s="140"/>
      <c r="AO703" s="140"/>
    </row>
    <row r="704" spans="30:41">
      <c r="AD704" s="140"/>
      <c r="AE704" s="140"/>
      <c r="AF704" s="140"/>
      <c r="AG704" s="140"/>
      <c r="AH704" s="140"/>
      <c r="AI704" s="140"/>
      <c r="AJ704" s="140"/>
      <c r="AK704" s="140"/>
      <c r="AL704" s="140"/>
      <c r="AM704" s="140"/>
      <c r="AN704" s="140"/>
      <c r="AO704" s="140"/>
    </row>
    <row r="705" spans="30:41">
      <c r="AD705" s="140"/>
      <c r="AE705" s="140"/>
      <c r="AF705" s="140"/>
      <c r="AG705" s="140"/>
      <c r="AH705" s="140"/>
      <c r="AI705" s="140"/>
      <c r="AJ705" s="140"/>
      <c r="AK705" s="140"/>
      <c r="AL705" s="140"/>
      <c r="AM705" s="140"/>
      <c r="AN705" s="140"/>
      <c r="AO705" s="140"/>
    </row>
    <row r="706" spans="30:41">
      <c r="AD706" s="140"/>
      <c r="AE706" s="140"/>
      <c r="AF706" s="140"/>
      <c r="AG706" s="140"/>
      <c r="AH706" s="140"/>
      <c r="AI706" s="140"/>
      <c r="AJ706" s="140"/>
      <c r="AK706" s="140"/>
      <c r="AL706" s="140"/>
      <c r="AM706" s="140"/>
      <c r="AN706" s="140"/>
      <c r="AO706" s="140"/>
    </row>
    <row r="707" spans="30:41">
      <c r="AD707" s="140"/>
      <c r="AE707" s="140"/>
      <c r="AF707" s="140"/>
      <c r="AG707" s="140"/>
      <c r="AH707" s="140"/>
      <c r="AI707" s="140"/>
      <c r="AJ707" s="140"/>
      <c r="AK707" s="140"/>
      <c r="AL707" s="140"/>
      <c r="AM707" s="140"/>
      <c r="AN707" s="140"/>
      <c r="AO707" s="140"/>
    </row>
    <row r="708" spans="30:41">
      <c r="AD708" s="140"/>
      <c r="AE708" s="140"/>
      <c r="AF708" s="140"/>
      <c r="AG708" s="140"/>
      <c r="AH708" s="140"/>
      <c r="AI708" s="140"/>
      <c r="AJ708" s="140"/>
      <c r="AK708" s="140"/>
      <c r="AL708" s="140"/>
      <c r="AM708" s="140"/>
      <c r="AN708" s="140"/>
      <c r="AO708" s="140"/>
    </row>
    <row r="709" spans="30:41">
      <c r="AD709" s="140"/>
      <c r="AE709" s="140"/>
      <c r="AF709" s="140"/>
      <c r="AG709" s="140"/>
      <c r="AH709" s="140"/>
      <c r="AI709" s="140"/>
      <c r="AJ709" s="140"/>
      <c r="AK709" s="140"/>
      <c r="AL709" s="140"/>
      <c r="AM709" s="140"/>
      <c r="AN709" s="140"/>
      <c r="AO709" s="140"/>
    </row>
    <row r="710" spans="30:41">
      <c r="AD710" s="140"/>
      <c r="AE710" s="140"/>
      <c r="AF710" s="140"/>
      <c r="AG710" s="140"/>
      <c r="AH710" s="140"/>
      <c r="AI710" s="140"/>
      <c r="AJ710" s="140"/>
      <c r="AK710" s="140"/>
      <c r="AL710" s="140"/>
      <c r="AM710" s="140"/>
      <c r="AN710" s="140"/>
      <c r="AO710" s="140"/>
    </row>
    <row r="711" spans="30:41">
      <c r="AD711" s="140"/>
      <c r="AE711" s="140"/>
      <c r="AF711" s="140"/>
      <c r="AG711" s="140"/>
      <c r="AH711" s="140"/>
      <c r="AI711" s="140"/>
      <c r="AJ711" s="140"/>
      <c r="AK711" s="140"/>
      <c r="AL711" s="140"/>
      <c r="AM711" s="140"/>
      <c r="AN711" s="140"/>
      <c r="AO711" s="140"/>
    </row>
    <row r="712" spans="30:41">
      <c r="AD712" s="140"/>
      <c r="AE712" s="140"/>
      <c r="AF712" s="140"/>
      <c r="AG712" s="140"/>
      <c r="AH712" s="140"/>
      <c r="AI712" s="140"/>
      <c r="AJ712" s="140"/>
      <c r="AK712" s="140"/>
      <c r="AL712" s="140"/>
      <c r="AM712" s="140"/>
      <c r="AN712" s="140"/>
      <c r="AO712" s="140"/>
    </row>
    <row r="713" spans="30:41">
      <c r="AD713" s="140"/>
      <c r="AE713" s="140"/>
      <c r="AF713" s="140"/>
      <c r="AG713" s="140"/>
      <c r="AH713" s="140"/>
      <c r="AI713" s="140"/>
      <c r="AJ713" s="140"/>
      <c r="AK713" s="140"/>
      <c r="AL713" s="140"/>
      <c r="AM713" s="140"/>
      <c r="AN713" s="140"/>
      <c r="AO713" s="140"/>
    </row>
    <row r="714" spans="30:41">
      <c r="AD714" s="140"/>
      <c r="AE714" s="140"/>
      <c r="AF714" s="140"/>
      <c r="AG714" s="140"/>
      <c r="AH714" s="140"/>
      <c r="AI714" s="140"/>
      <c r="AJ714" s="140"/>
      <c r="AK714" s="140"/>
      <c r="AL714" s="140"/>
      <c r="AM714" s="140"/>
      <c r="AN714" s="140"/>
      <c r="AO714" s="140"/>
    </row>
    <row r="715" spans="30:41">
      <c r="AD715" s="140"/>
      <c r="AE715" s="140"/>
      <c r="AF715" s="140"/>
      <c r="AG715" s="140"/>
      <c r="AH715" s="140"/>
      <c r="AI715" s="140"/>
      <c r="AJ715" s="140"/>
      <c r="AK715" s="140"/>
      <c r="AL715" s="140"/>
      <c r="AM715" s="140"/>
      <c r="AN715" s="140"/>
      <c r="AO715" s="140"/>
    </row>
    <row r="716" spans="30:41">
      <c r="AD716" s="140"/>
      <c r="AE716" s="140"/>
      <c r="AF716" s="140"/>
      <c r="AG716" s="140"/>
      <c r="AH716" s="140"/>
      <c r="AI716" s="140"/>
      <c r="AJ716" s="140"/>
      <c r="AK716" s="140"/>
      <c r="AL716" s="140"/>
      <c r="AM716" s="140"/>
      <c r="AN716" s="140"/>
      <c r="AO716" s="140"/>
    </row>
    <row r="717" spans="30:41">
      <c r="AD717" s="140"/>
      <c r="AE717" s="140"/>
      <c r="AF717" s="140"/>
      <c r="AG717" s="140"/>
      <c r="AH717" s="140"/>
      <c r="AI717" s="140"/>
      <c r="AJ717" s="140"/>
      <c r="AK717" s="140"/>
      <c r="AL717" s="140"/>
      <c r="AM717" s="140"/>
      <c r="AN717" s="140"/>
      <c r="AO717" s="140"/>
    </row>
    <row r="718" spans="30:41">
      <c r="AD718" s="140"/>
      <c r="AE718" s="140"/>
      <c r="AF718" s="140"/>
      <c r="AG718" s="140"/>
      <c r="AH718" s="140"/>
      <c r="AI718" s="140"/>
      <c r="AJ718" s="140"/>
      <c r="AK718" s="140"/>
      <c r="AL718" s="140"/>
      <c r="AM718" s="140"/>
      <c r="AN718" s="140"/>
      <c r="AO718" s="140"/>
    </row>
    <row r="719" spans="30:41">
      <c r="AD719" s="140"/>
      <c r="AE719" s="140"/>
      <c r="AF719" s="140"/>
      <c r="AG719" s="140"/>
      <c r="AH719" s="140"/>
      <c r="AI719" s="140"/>
      <c r="AJ719" s="140"/>
      <c r="AK719" s="140"/>
      <c r="AL719" s="140"/>
      <c r="AM719" s="140"/>
      <c r="AN719" s="140"/>
      <c r="AO719" s="140"/>
    </row>
    <row r="720" spans="30:41">
      <c r="AD720" s="140"/>
      <c r="AE720" s="140"/>
      <c r="AF720" s="140"/>
      <c r="AG720" s="140"/>
      <c r="AH720" s="140"/>
      <c r="AI720" s="140"/>
      <c r="AJ720" s="140"/>
      <c r="AK720" s="140"/>
      <c r="AL720" s="140"/>
      <c r="AM720" s="140"/>
      <c r="AN720" s="140"/>
      <c r="AO720" s="140"/>
    </row>
    <row r="721" spans="30:41">
      <c r="AD721" s="140"/>
      <c r="AE721" s="140"/>
      <c r="AF721" s="140"/>
      <c r="AG721" s="140"/>
      <c r="AH721" s="140"/>
      <c r="AI721" s="140"/>
      <c r="AJ721" s="140"/>
      <c r="AK721" s="140"/>
      <c r="AL721" s="140"/>
      <c r="AM721" s="140"/>
      <c r="AN721" s="140"/>
      <c r="AO721" s="140"/>
    </row>
    <row r="722" spans="30:41">
      <c r="AD722" s="140"/>
      <c r="AE722" s="140"/>
      <c r="AF722" s="140"/>
      <c r="AG722" s="140"/>
      <c r="AH722" s="140"/>
      <c r="AI722" s="140"/>
      <c r="AJ722" s="140"/>
      <c r="AK722" s="140"/>
      <c r="AL722" s="140"/>
      <c r="AM722" s="140"/>
      <c r="AN722" s="140"/>
      <c r="AO722" s="140"/>
    </row>
    <row r="723" spans="30:41">
      <c r="AD723" s="140"/>
      <c r="AE723" s="140"/>
      <c r="AF723" s="140"/>
      <c r="AG723" s="140"/>
      <c r="AH723" s="140"/>
      <c r="AI723" s="140"/>
      <c r="AJ723" s="140"/>
      <c r="AK723" s="140"/>
      <c r="AL723" s="140"/>
      <c r="AM723" s="140"/>
      <c r="AN723" s="140"/>
      <c r="AO723" s="140"/>
    </row>
    <row r="724" spans="30:41">
      <c r="AD724" s="140"/>
      <c r="AE724" s="140"/>
      <c r="AF724" s="140"/>
      <c r="AG724" s="140"/>
      <c r="AH724" s="140"/>
      <c r="AI724" s="140"/>
      <c r="AJ724" s="140"/>
      <c r="AK724" s="140"/>
      <c r="AL724" s="140"/>
      <c r="AM724" s="140"/>
      <c r="AN724" s="140"/>
      <c r="AO724" s="140"/>
    </row>
    <row r="725" spans="30:41">
      <c r="AD725" s="140"/>
      <c r="AE725" s="140"/>
      <c r="AF725" s="140"/>
      <c r="AG725" s="140"/>
      <c r="AH725" s="140"/>
      <c r="AI725" s="140"/>
      <c r="AJ725" s="140"/>
      <c r="AK725" s="140"/>
      <c r="AL725" s="140"/>
      <c r="AM725" s="140"/>
      <c r="AN725" s="140"/>
      <c r="AO725" s="140"/>
    </row>
    <row r="726" spans="30:41">
      <c r="AD726" s="140"/>
      <c r="AE726" s="140"/>
      <c r="AF726" s="140"/>
      <c r="AG726" s="140"/>
      <c r="AH726" s="140"/>
      <c r="AI726" s="140"/>
      <c r="AJ726" s="140"/>
      <c r="AK726" s="140"/>
      <c r="AL726" s="140"/>
      <c r="AM726" s="140"/>
      <c r="AN726" s="140"/>
      <c r="AO726" s="140"/>
    </row>
    <row r="727" spans="30:41">
      <c r="AD727" s="140"/>
      <c r="AE727" s="140"/>
      <c r="AF727" s="140"/>
      <c r="AG727" s="140"/>
      <c r="AH727" s="140"/>
      <c r="AI727" s="140"/>
      <c r="AJ727" s="140"/>
      <c r="AK727" s="140"/>
      <c r="AL727" s="140"/>
      <c r="AM727" s="140"/>
      <c r="AN727" s="140"/>
      <c r="AO727" s="140"/>
    </row>
    <row r="728" spans="30:41">
      <c r="AD728" s="140"/>
      <c r="AE728" s="140"/>
      <c r="AF728" s="140"/>
      <c r="AG728" s="140"/>
      <c r="AH728" s="140"/>
      <c r="AI728" s="140"/>
      <c r="AJ728" s="140"/>
      <c r="AK728" s="140"/>
      <c r="AL728" s="140"/>
      <c r="AM728" s="140"/>
      <c r="AN728" s="140"/>
      <c r="AO728" s="140"/>
    </row>
    <row r="729" spans="30:41">
      <c r="AD729" s="140"/>
      <c r="AE729" s="140"/>
      <c r="AF729" s="140"/>
      <c r="AG729" s="140"/>
      <c r="AH729" s="140"/>
      <c r="AI729" s="140"/>
      <c r="AJ729" s="140"/>
      <c r="AK729" s="140"/>
      <c r="AL729" s="140"/>
      <c r="AM729" s="140"/>
      <c r="AN729" s="140"/>
      <c r="AO729" s="140"/>
    </row>
    <row r="730" spans="30:41">
      <c r="AD730" s="140"/>
      <c r="AE730" s="140"/>
      <c r="AF730" s="140"/>
      <c r="AG730" s="140"/>
      <c r="AH730" s="140"/>
      <c r="AI730" s="140"/>
      <c r="AJ730" s="140"/>
      <c r="AK730" s="140"/>
      <c r="AL730" s="140"/>
      <c r="AM730" s="140"/>
      <c r="AN730" s="140"/>
      <c r="AO730" s="140"/>
    </row>
    <row r="731" spans="30:41">
      <c r="AD731" s="140"/>
      <c r="AE731" s="140"/>
      <c r="AF731" s="140"/>
      <c r="AG731" s="140"/>
      <c r="AH731" s="140"/>
      <c r="AI731" s="140"/>
      <c r="AJ731" s="140"/>
      <c r="AK731" s="140"/>
      <c r="AL731" s="140"/>
      <c r="AM731" s="140"/>
      <c r="AN731" s="140"/>
      <c r="AO731" s="140"/>
    </row>
    <row r="732" spans="30:41">
      <c r="AD732" s="140"/>
      <c r="AE732" s="140"/>
      <c r="AF732" s="140"/>
      <c r="AG732" s="140"/>
      <c r="AH732" s="140"/>
      <c r="AI732" s="140"/>
      <c r="AJ732" s="140"/>
      <c r="AK732" s="140"/>
      <c r="AL732" s="140"/>
      <c r="AM732" s="140"/>
      <c r="AN732" s="140"/>
      <c r="AO732" s="140"/>
    </row>
    <row r="733" spans="30:41">
      <c r="AD733" s="140"/>
      <c r="AE733" s="140"/>
      <c r="AF733" s="140"/>
      <c r="AG733" s="140"/>
      <c r="AH733" s="140"/>
      <c r="AI733" s="140"/>
      <c r="AJ733" s="140"/>
      <c r="AK733" s="140"/>
      <c r="AL733" s="140"/>
      <c r="AM733" s="140"/>
      <c r="AN733" s="140"/>
      <c r="AO733" s="140"/>
    </row>
    <row r="734" spans="30:41">
      <c r="AD734" s="140"/>
      <c r="AE734" s="140"/>
      <c r="AF734" s="140"/>
      <c r="AG734" s="140"/>
      <c r="AH734" s="140"/>
      <c r="AI734" s="140"/>
      <c r="AJ734" s="140"/>
      <c r="AK734" s="140"/>
      <c r="AL734" s="140"/>
      <c r="AM734" s="140"/>
      <c r="AN734" s="140"/>
      <c r="AO734" s="140"/>
    </row>
    <row r="735" spans="30:41">
      <c r="AD735" s="140"/>
      <c r="AE735" s="140"/>
      <c r="AF735" s="140"/>
      <c r="AG735" s="140"/>
      <c r="AH735" s="140"/>
      <c r="AI735" s="140"/>
      <c r="AJ735" s="140"/>
      <c r="AK735" s="140"/>
      <c r="AL735" s="140"/>
      <c r="AM735" s="140"/>
      <c r="AN735" s="140"/>
      <c r="AO735" s="140"/>
    </row>
    <row r="736" spans="30:41">
      <c r="AD736" s="140"/>
      <c r="AE736" s="140"/>
      <c r="AF736" s="140"/>
      <c r="AG736" s="140"/>
      <c r="AH736" s="140"/>
      <c r="AI736" s="140"/>
      <c r="AJ736" s="140"/>
      <c r="AK736" s="140"/>
      <c r="AL736" s="140"/>
      <c r="AM736" s="140"/>
      <c r="AN736" s="140"/>
      <c r="AO736" s="140"/>
    </row>
    <row r="737" spans="30:41">
      <c r="AD737" s="140"/>
      <c r="AE737" s="140"/>
      <c r="AF737" s="140"/>
      <c r="AG737" s="140"/>
      <c r="AH737" s="140"/>
      <c r="AI737" s="140"/>
      <c r="AJ737" s="140"/>
      <c r="AK737" s="140"/>
      <c r="AL737" s="140"/>
      <c r="AM737" s="140"/>
      <c r="AN737" s="140"/>
      <c r="AO737" s="140"/>
    </row>
    <row r="738" spans="30:41">
      <c r="AD738" s="140"/>
      <c r="AE738" s="140"/>
      <c r="AF738" s="140"/>
      <c r="AG738" s="140"/>
      <c r="AH738" s="140"/>
      <c r="AI738" s="140"/>
      <c r="AJ738" s="140"/>
      <c r="AK738" s="140"/>
      <c r="AL738" s="140"/>
      <c r="AM738" s="140"/>
      <c r="AN738" s="140"/>
      <c r="AO738" s="140"/>
    </row>
    <row r="739" spans="30:41">
      <c r="AD739" s="140"/>
      <c r="AE739" s="140"/>
      <c r="AF739" s="140"/>
      <c r="AG739" s="140"/>
      <c r="AH739" s="140"/>
      <c r="AI739" s="140"/>
      <c r="AJ739" s="140"/>
      <c r="AK739" s="140"/>
      <c r="AL739" s="140"/>
      <c r="AM739" s="140"/>
      <c r="AN739" s="140"/>
      <c r="AO739" s="140"/>
    </row>
    <row r="740" spans="30:41">
      <c r="AD740" s="140"/>
      <c r="AE740" s="140"/>
      <c r="AF740" s="140"/>
      <c r="AG740" s="140"/>
      <c r="AH740" s="140"/>
      <c r="AI740" s="140"/>
      <c r="AJ740" s="140"/>
      <c r="AK740" s="140"/>
      <c r="AL740" s="140"/>
      <c r="AM740" s="140"/>
      <c r="AN740" s="140"/>
      <c r="AO740" s="140"/>
    </row>
    <row r="741" spans="30:41">
      <c r="AD741" s="140"/>
      <c r="AE741" s="140"/>
      <c r="AF741" s="140"/>
      <c r="AG741" s="140"/>
      <c r="AH741" s="140"/>
      <c r="AI741" s="140"/>
      <c r="AJ741" s="140"/>
      <c r="AK741" s="140"/>
      <c r="AL741" s="140"/>
      <c r="AM741" s="140"/>
      <c r="AN741" s="140"/>
      <c r="AO741" s="140"/>
    </row>
    <row r="742" spans="30:41">
      <c r="AD742" s="140"/>
      <c r="AE742" s="140"/>
      <c r="AF742" s="140"/>
      <c r="AG742" s="140"/>
      <c r="AH742" s="140"/>
      <c r="AI742" s="140"/>
      <c r="AJ742" s="140"/>
      <c r="AK742" s="140"/>
      <c r="AL742" s="140"/>
      <c r="AM742" s="140"/>
      <c r="AN742" s="140"/>
      <c r="AO742" s="140"/>
    </row>
    <row r="743" spans="30:41">
      <c r="AD743" s="140"/>
      <c r="AE743" s="140"/>
      <c r="AF743" s="140"/>
      <c r="AG743" s="140"/>
      <c r="AH743" s="140"/>
      <c r="AI743" s="140"/>
      <c r="AJ743" s="140"/>
      <c r="AK743" s="140"/>
      <c r="AL743" s="140"/>
      <c r="AM743" s="140"/>
      <c r="AN743" s="140"/>
      <c r="AO743" s="140"/>
    </row>
    <row r="744" spans="30:41">
      <c r="AD744" s="140"/>
      <c r="AE744" s="140"/>
      <c r="AF744" s="140"/>
      <c r="AG744" s="140"/>
      <c r="AH744" s="140"/>
      <c r="AI744" s="140"/>
      <c r="AJ744" s="140"/>
      <c r="AK744" s="140"/>
      <c r="AL744" s="140"/>
      <c r="AM744" s="140"/>
      <c r="AN744" s="140"/>
      <c r="AO744" s="140"/>
    </row>
    <row r="745" spans="30:41">
      <c r="AD745" s="140"/>
      <c r="AE745" s="140"/>
      <c r="AF745" s="140"/>
      <c r="AG745" s="140"/>
      <c r="AH745" s="140"/>
      <c r="AI745" s="140"/>
      <c r="AJ745" s="140"/>
      <c r="AK745" s="140"/>
      <c r="AL745" s="140"/>
      <c r="AM745" s="140"/>
      <c r="AN745" s="140"/>
      <c r="AO745" s="140"/>
    </row>
    <row r="746" spans="30:41">
      <c r="AD746" s="140"/>
      <c r="AE746" s="140"/>
      <c r="AF746" s="140"/>
      <c r="AG746" s="140"/>
      <c r="AH746" s="140"/>
      <c r="AI746" s="140"/>
      <c r="AJ746" s="140"/>
      <c r="AK746" s="140"/>
      <c r="AL746" s="140"/>
      <c r="AM746" s="140"/>
      <c r="AN746" s="140"/>
      <c r="AO746" s="140"/>
    </row>
    <row r="747" spans="30:41">
      <c r="AD747" s="140"/>
      <c r="AE747" s="140"/>
      <c r="AF747" s="140"/>
      <c r="AG747" s="140"/>
      <c r="AH747" s="140"/>
      <c r="AI747" s="140"/>
      <c r="AJ747" s="140"/>
      <c r="AK747" s="140"/>
      <c r="AL747" s="140"/>
      <c r="AM747" s="140"/>
      <c r="AN747" s="140"/>
      <c r="AO747" s="140"/>
    </row>
    <row r="748" spans="30:41">
      <c r="AD748" s="140"/>
      <c r="AE748" s="140"/>
      <c r="AF748" s="140"/>
      <c r="AG748" s="140"/>
      <c r="AH748" s="140"/>
      <c r="AI748" s="140"/>
      <c r="AJ748" s="140"/>
      <c r="AK748" s="140"/>
      <c r="AL748" s="140"/>
      <c r="AM748" s="140"/>
      <c r="AN748" s="140"/>
      <c r="AO748" s="140"/>
    </row>
    <row r="749" spans="30:41">
      <c r="AD749" s="140"/>
      <c r="AE749" s="140"/>
      <c r="AF749" s="140"/>
      <c r="AG749" s="140"/>
      <c r="AH749" s="140"/>
      <c r="AI749" s="140"/>
      <c r="AJ749" s="140"/>
      <c r="AK749" s="140"/>
      <c r="AL749" s="140"/>
      <c r="AM749" s="140"/>
      <c r="AN749" s="140"/>
      <c r="AO749" s="140"/>
    </row>
    <row r="750" spans="30:41">
      <c r="AD750" s="140"/>
      <c r="AE750" s="140"/>
      <c r="AF750" s="140"/>
      <c r="AG750" s="140"/>
      <c r="AH750" s="140"/>
      <c r="AI750" s="140"/>
      <c r="AJ750" s="140"/>
      <c r="AK750" s="140"/>
      <c r="AL750" s="140"/>
      <c r="AM750" s="140"/>
      <c r="AN750" s="140"/>
      <c r="AO750" s="140"/>
    </row>
    <row r="751" spans="30:41">
      <c r="AD751" s="140"/>
      <c r="AE751" s="140"/>
      <c r="AF751" s="140"/>
      <c r="AG751" s="140"/>
      <c r="AH751" s="140"/>
      <c r="AI751" s="140"/>
      <c r="AJ751" s="140"/>
      <c r="AK751" s="140"/>
      <c r="AL751" s="140"/>
      <c r="AM751" s="140"/>
      <c r="AN751" s="140"/>
      <c r="AO751" s="140"/>
    </row>
    <row r="752" spans="30:41">
      <c r="AD752" s="140"/>
      <c r="AE752" s="140"/>
      <c r="AF752" s="140"/>
      <c r="AG752" s="140"/>
      <c r="AH752" s="140"/>
      <c r="AI752" s="140"/>
      <c r="AJ752" s="140"/>
      <c r="AK752" s="140"/>
      <c r="AL752" s="140"/>
      <c r="AM752" s="140"/>
      <c r="AN752" s="140"/>
      <c r="AO752" s="140"/>
    </row>
    <row r="753" spans="30:41">
      <c r="AD753" s="140"/>
      <c r="AE753" s="140"/>
      <c r="AF753" s="140"/>
      <c r="AG753" s="140"/>
      <c r="AH753" s="140"/>
      <c r="AI753" s="140"/>
      <c r="AJ753" s="140"/>
      <c r="AK753" s="140"/>
      <c r="AL753" s="140"/>
      <c r="AM753" s="140"/>
      <c r="AN753" s="140"/>
      <c r="AO753" s="140"/>
    </row>
    <row r="754" spans="30:41">
      <c r="AD754" s="140"/>
      <c r="AE754" s="140"/>
      <c r="AF754" s="140"/>
      <c r="AG754" s="140"/>
      <c r="AH754" s="140"/>
      <c r="AI754" s="140"/>
      <c r="AJ754" s="140"/>
      <c r="AK754" s="140"/>
      <c r="AL754" s="140"/>
      <c r="AM754" s="140"/>
      <c r="AN754" s="140"/>
      <c r="AO754" s="140"/>
    </row>
    <row r="755" spans="30:41">
      <c r="AD755" s="140"/>
      <c r="AE755" s="140"/>
      <c r="AF755" s="140"/>
      <c r="AG755" s="140"/>
      <c r="AH755" s="140"/>
      <c r="AI755" s="140"/>
      <c r="AJ755" s="140"/>
      <c r="AK755" s="140"/>
      <c r="AL755" s="140"/>
      <c r="AM755" s="140"/>
      <c r="AN755" s="140"/>
      <c r="AO755" s="140"/>
    </row>
    <row r="756" spans="30:41">
      <c r="AD756" s="140"/>
      <c r="AE756" s="140"/>
      <c r="AF756" s="140"/>
      <c r="AG756" s="140"/>
      <c r="AH756" s="140"/>
      <c r="AI756" s="140"/>
      <c r="AJ756" s="140"/>
      <c r="AK756" s="140"/>
      <c r="AL756" s="140"/>
      <c r="AM756" s="140"/>
      <c r="AN756" s="140"/>
      <c r="AO756" s="140"/>
    </row>
    <row r="757" spans="30:41">
      <c r="AD757" s="140"/>
      <c r="AE757" s="140"/>
      <c r="AF757" s="140"/>
      <c r="AG757" s="140"/>
      <c r="AH757" s="140"/>
      <c r="AI757" s="140"/>
      <c r="AJ757" s="140"/>
      <c r="AK757" s="140"/>
      <c r="AL757" s="140"/>
      <c r="AM757" s="140"/>
      <c r="AN757" s="140"/>
      <c r="AO757" s="140"/>
    </row>
    <row r="758" spans="30:41">
      <c r="AD758" s="140"/>
      <c r="AE758" s="140"/>
      <c r="AF758" s="140"/>
      <c r="AG758" s="140"/>
      <c r="AH758" s="140"/>
      <c r="AI758" s="140"/>
      <c r="AJ758" s="140"/>
      <c r="AK758" s="140"/>
      <c r="AL758" s="140"/>
      <c r="AM758" s="140"/>
      <c r="AN758" s="140"/>
      <c r="AO758" s="140"/>
    </row>
    <row r="759" spans="30:41">
      <c r="AD759" s="140"/>
      <c r="AE759" s="140"/>
      <c r="AF759" s="140"/>
      <c r="AG759" s="140"/>
      <c r="AH759" s="140"/>
      <c r="AI759" s="140"/>
      <c r="AJ759" s="140"/>
      <c r="AK759" s="140"/>
      <c r="AL759" s="140"/>
      <c r="AM759" s="140"/>
      <c r="AN759" s="140"/>
      <c r="AO759" s="140"/>
    </row>
    <row r="760" spans="30:41">
      <c r="AD760" s="140"/>
      <c r="AE760" s="140"/>
      <c r="AF760" s="140"/>
      <c r="AG760" s="140"/>
      <c r="AH760" s="140"/>
      <c r="AI760" s="140"/>
      <c r="AJ760" s="140"/>
      <c r="AK760" s="140"/>
      <c r="AL760" s="140"/>
      <c r="AM760" s="140"/>
      <c r="AN760" s="140"/>
      <c r="AO760" s="140"/>
    </row>
    <row r="761" spans="30:41">
      <c r="AD761" s="140"/>
      <c r="AE761" s="140"/>
      <c r="AF761" s="140"/>
      <c r="AG761" s="140"/>
      <c r="AH761" s="140"/>
      <c r="AI761" s="140"/>
      <c r="AJ761" s="140"/>
      <c r="AK761" s="140"/>
      <c r="AL761" s="140"/>
      <c r="AM761" s="140"/>
      <c r="AN761" s="140"/>
      <c r="AO761" s="140"/>
    </row>
    <row r="762" spans="30:41">
      <c r="AD762" s="140"/>
      <c r="AE762" s="140"/>
      <c r="AF762" s="140"/>
      <c r="AG762" s="140"/>
      <c r="AH762" s="140"/>
      <c r="AI762" s="140"/>
      <c r="AJ762" s="140"/>
      <c r="AK762" s="140"/>
      <c r="AL762" s="140"/>
      <c r="AM762" s="140"/>
      <c r="AN762" s="140"/>
      <c r="AO762" s="140"/>
    </row>
    <row r="763" spans="30:41">
      <c r="AD763" s="140"/>
      <c r="AE763" s="140"/>
      <c r="AF763" s="140"/>
      <c r="AG763" s="140"/>
      <c r="AH763" s="140"/>
      <c r="AI763" s="140"/>
      <c r="AJ763" s="140"/>
      <c r="AK763" s="140"/>
      <c r="AL763" s="140"/>
      <c r="AM763" s="140"/>
      <c r="AN763" s="140"/>
      <c r="AO763" s="140"/>
    </row>
    <row r="764" spans="30:41">
      <c r="AD764" s="140"/>
      <c r="AE764" s="140"/>
      <c r="AF764" s="140"/>
      <c r="AG764" s="140"/>
      <c r="AH764" s="140"/>
      <c r="AI764" s="140"/>
      <c r="AJ764" s="140"/>
      <c r="AK764" s="140"/>
      <c r="AL764" s="140"/>
      <c r="AM764" s="140"/>
      <c r="AN764" s="140"/>
      <c r="AO764" s="140"/>
    </row>
    <row r="765" spans="30:41">
      <c r="AD765" s="140"/>
      <c r="AE765" s="140"/>
      <c r="AF765" s="140"/>
      <c r="AG765" s="140"/>
      <c r="AH765" s="140"/>
      <c r="AI765" s="140"/>
      <c r="AJ765" s="140"/>
      <c r="AK765" s="140"/>
      <c r="AL765" s="140"/>
      <c r="AM765" s="140"/>
      <c r="AN765" s="140"/>
      <c r="AO765" s="140"/>
    </row>
    <row r="766" spans="30:41">
      <c r="AD766" s="140"/>
      <c r="AE766" s="140"/>
      <c r="AF766" s="140"/>
      <c r="AG766" s="140"/>
      <c r="AH766" s="140"/>
      <c r="AI766" s="140"/>
      <c r="AJ766" s="140"/>
      <c r="AK766" s="140"/>
      <c r="AL766" s="140"/>
      <c r="AM766" s="140"/>
      <c r="AN766" s="140"/>
      <c r="AO766" s="140"/>
    </row>
    <row r="767" spans="30:41">
      <c r="AD767" s="140"/>
      <c r="AE767" s="140"/>
      <c r="AF767" s="140"/>
      <c r="AG767" s="140"/>
      <c r="AH767" s="140"/>
      <c r="AI767" s="140"/>
      <c r="AJ767" s="140"/>
      <c r="AK767" s="140"/>
      <c r="AL767" s="140"/>
      <c r="AM767" s="140"/>
      <c r="AN767" s="140"/>
      <c r="AO767" s="140"/>
    </row>
    <row r="768" spans="30:41">
      <c r="AD768" s="140"/>
      <c r="AE768" s="140"/>
      <c r="AF768" s="140"/>
      <c r="AG768" s="140"/>
      <c r="AH768" s="140"/>
      <c r="AI768" s="140"/>
      <c r="AJ768" s="140"/>
      <c r="AK768" s="140"/>
      <c r="AL768" s="140"/>
      <c r="AM768" s="140"/>
      <c r="AN768" s="140"/>
      <c r="AO768" s="140"/>
    </row>
    <row r="769" spans="30:41">
      <c r="AD769" s="140"/>
      <c r="AE769" s="140"/>
      <c r="AF769" s="140"/>
      <c r="AG769" s="140"/>
      <c r="AH769" s="140"/>
      <c r="AI769" s="140"/>
      <c r="AJ769" s="140"/>
      <c r="AK769" s="140"/>
      <c r="AL769" s="140"/>
      <c r="AM769" s="140"/>
      <c r="AN769" s="140"/>
      <c r="AO769" s="140"/>
    </row>
    <row r="770" spans="30:41">
      <c r="AD770" s="140"/>
      <c r="AE770" s="140"/>
      <c r="AF770" s="140"/>
      <c r="AG770" s="140"/>
      <c r="AH770" s="140"/>
      <c r="AI770" s="140"/>
      <c r="AJ770" s="140"/>
      <c r="AK770" s="140"/>
      <c r="AL770" s="140"/>
      <c r="AM770" s="140"/>
      <c r="AN770" s="140"/>
      <c r="AO770" s="140"/>
    </row>
    <row r="771" spans="30:41">
      <c r="AD771" s="140"/>
      <c r="AE771" s="140"/>
      <c r="AF771" s="140"/>
      <c r="AG771" s="140"/>
      <c r="AH771" s="140"/>
      <c r="AI771" s="140"/>
      <c r="AJ771" s="140"/>
      <c r="AK771" s="140"/>
      <c r="AL771" s="140"/>
      <c r="AM771" s="140"/>
      <c r="AN771" s="140"/>
      <c r="AO771" s="140"/>
    </row>
    <row r="772" spans="30:41">
      <c r="AD772" s="140"/>
      <c r="AE772" s="140"/>
      <c r="AF772" s="140"/>
      <c r="AG772" s="140"/>
      <c r="AH772" s="140"/>
      <c r="AI772" s="140"/>
      <c r="AJ772" s="140"/>
      <c r="AK772" s="140"/>
      <c r="AL772" s="140"/>
      <c r="AM772" s="140"/>
      <c r="AN772" s="140"/>
      <c r="AO772" s="140"/>
    </row>
    <row r="773" spans="30:41">
      <c r="AD773" s="140"/>
      <c r="AE773" s="140"/>
      <c r="AF773" s="140"/>
      <c r="AG773" s="140"/>
      <c r="AH773" s="140"/>
      <c r="AI773" s="140"/>
      <c r="AJ773" s="140"/>
      <c r="AK773" s="140"/>
      <c r="AL773" s="140"/>
      <c r="AM773" s="140"/>
      <c r="AN773" s="140"/>
      <c r="AO773" s="140"/>
    </row>
    <row r="774" spans="30:41">
      <c r="AD774" s="140"/>
      <c r="AE774" s="140"/>
      <c r="AF774" s="140"/>
      <c r="AG774" s="140"/>
      <c r="AH774" s="140"/>
      <c r="AI774" s="140"/>
      <c r="AJ774" s="140"/>
      <c r="AK774" s="140"/>
      <c r="AL774" s="140"/>
      <c r="AM774" s="140"/>
      <c r="AN774" s="140"/>
      <c r="AO774" s="140"/>
    </row>
    <row r="775" spans="30:41">
      <c r="AD775" s="140"/>
      <c r="AE775" s="140"/>
      <c r="AF775" s="140"/>
      <c r="AG775" s="140"/>
      <c r="AH775" s="140"/>
      <c r="AI775" s="140"/>
      <c r="AJ775" s="140"/>
      <c r="AK775" s="140"/>
      <c r="AL775" s="140"/>
      <c r="AM775" s="140"/>
      <c r="AN775" s="140"/>
      <c r="AO775" s="140"/>
    </row>
    <row r="776" spans="30:41">
      <c r="AD776" s="140"/>
      <c r="AE776" s="140"/>
      <c r="AF776" s="140"/>
      <c r="AG776" s="140"/>
      <c r="AH776" s="140"/>
      <c r="AI776" s="140"/>
      <c r="AJ776" s="140"/>
      <c r="AK776" s="140"/>
      <c r="AL776" s="140"/>
      <c r="AM776" s="140"/>
      <c r="AN776" s="140"/>
      <c r="AO776" s="140"/>
    </row>
    <row r="777" spans="30:41">
      <c r="AD777" s="140"/>
      <c r="AE777" s="140"/>
      <c r="AF777" s="140"/>
      <c r="AG777" s="140"/>
      <c r="AH777" s="140"/>
      <c r="AI777" s="140"/>
      <c r="AJ777" s="140"/>
      <c r="AK777" s="140"/>
      <c r="AL777" s="140"/>
      <c r="AM777" s="140"/>
      <c r="AN777" s="140"/>
      <c r="AO777" s="140"/>
    </row>
    <row r="778" spans="30:41">
      <c r="AD778" s="140"/>
      <c r="AE778" s="140"/>
      <c r="AF778" s="140"/>
      <c r="AG778" s="140"/>
      <c r="AH778" s="140"/>
      <c r="AI778" s="140"/>
      <c r="AJ778" s="140"/>
      <c r="AK778" s="140"/>
      <c r="AL778" s="140"/>
      <c r="AM778" s="140"/>
      <c r="AN778" s="140"/>
      <c r="AO778" s="140"/>
    </row>
    <row r="779" spans="30:41">
      <c r="AD779" s="140"/>
      <c r="AE779" s="140"/>
      <c r="AF779" s="140"/>
      <c r="AG779" s="140"/>
      <c r="AH779" s="140"/>
      <c r="AI779" s="140"/>
      <c r="AJ779" s="140"/>
      <c r="AK779" s="140"/>
      <c r="AL779" s="140"/>
      <c r="AM779" s="140"/>
      <c r="AN779" s="140"/>
      <c r="AO779" s="140"/>
    </row>
    <row r="780" spans="30:41">
      <c r="AD780" s="140"/>
      <c r="AE780" s="140"/>
      <c r="AF780" s="140"/>
      <c r="AG780" s="140"/>
      <c r="AH780" s="140"/>
      <c r="AI780" s="140"/>
      <c r="AJ780" s="140"/>
      <c r="AK780" s="140"/>
      <c r="AL780" s="140"/>
      <c r="AM780" s="140"/>
      <c r="AN780" s="140"/>
      <c r="AO780" s="140"/>
    </row>
    <row r="781" spans="30:41">
      <c r="AD781" s="140"/>
      <c r="AE781" s="140"/>
      <c r="AF781" s="140"/>
      <c r="AG781" s="140"/>
      <c r="AH781" s="140"/>
      <c r="AI781" s="140"/>
      <c r="AJ781" s="140"/>
      <c r="AK781" s="140"/>
      <c r="AL781" s="140"/>
      <c r="AM781" s="140"/>
      <c r="AN781" s="140"/>
      <c r="AO781" s="140"/>
    </row>
    <row r="782" spans="30:41">
      <c r="AD782" s="140"/>
      <c r="AE782" s="140"/>
      <c r="AF782" s="140"/>
      <c r="AG782" s="140"/>
      <c r="AH782" s="140"/>
      <c r="AI782" s="140"/>
      <c r="AJ782" s="140"/>
      <c r="AK782" s="140"/>
      <c r="AL782" s="140"/>
      <c r="AM782" s="140"/>
      <c r="AN782" s="140"/>
      <c r="AO782" s="140"/>
    </row>
    <row r="783" spans="30:41">
      <c r="AD783" s="140"/>
      <c r="AE783" s="140"/>
      <c r="AF783" s="140"/>
      <c r="AG783" s="140"/>
      <c r="AH783" s="140"/>
      <c r="AI783" s="140"/>
      <c r="AJ783" s="140"/>
      <c r="AK783" s="140"/>
      <c r="AL783" s="140"/>
      <c r="AM783" s="140"/>
      <c r="AN783" s="140"/>
      <c r="AO783" s="140"/>
    </row>
    <row r="784" spans="30:41">
      <c r="AD784" s="140"/>
      <c r="AE784" s="140"/>
      <c r="AF784" s="140"/>
      <c r="AG784" s="140"/>
      <c r="AH784" s="140"/>
      <c r="AI784" s="140"/>
      <c r="AJ784" s="140"/>
      <c r="AK784" s="140"/>
      <c r="AL784" s="140"/>
      <c r="AM784" s="140"/>
      <c r="AN784" s="140"/>
      <c r="AO784" s="140"/>
    </row>
    <row r="785" spans="30:41">
      <c r="AD785" s="140"/>
      <c r="AE785" s="140"/>
      <c r="AF785" s="140"/>
      <c r="AG785" s="140"/>
      <c r="AH785" s="140"/>
      <c r="AI785" s="140"/>
      <c r="AJ785" s="140"/>
      <c r="AK785" s="140"/>
      <c r="AL785" s="140"/>
      <c r="AM785" s="140"/>
      <c r="AN785" s="140"/>
      <c r="AO785" s="140"/>
    </row>
    <row r="786" spans="30:41">
      <c r="AD786" s="140"/>
      <c r="AE786" s="140"/>
      <c r="AF786" s="140"/>
      <c r="AG786" s="140"/>
      <c r="AH786" s="140"/>
      <c r="AI786" s="140"/>
      <c r="AJ786" s="140"/>
      <c r="AK786" s="140"/>
      <c r="AL786" s="140"/>
      <c r="AM786" s="140"/>
      <c r="AN786" s="140"/>
      <c r="AO786" s="140"/>
    </row>
    <row r="787" spans="30:41">
      <c r="AD787" s="140"/>
      <c r="AE787" s="140"/>
      <c r="AF787" s="140"/>
      <c r="AG787" s="140"/>
      <c r="AH787" s="140"/>
      <c r="AI787" s="140"/>
      <c r="AJ787" s="140"/>
      <c r="AK787" s="140"/>
      <c r="AL787" s="140"/>
      <c r="AM787" s="140"/>
      <c r="AN787" s="140"/>
      <c r="AO787" s="140"/>
    </row>
    <row r="788" spans="30:41">
      <c r="AD788" s="140"/>
      <c r="AE788" s="140"/>
      <c r="AF788" s="140"/>
      <c r="AG788" s="140"/>
      <c r="AH788" s="140"/>
      <c r="AI788" s="140"/>
      <c r="AJ788" s="140"/>
      <c r="AK788" s="140"/>
      <c r="AL788" s="140"/>
      <c r="AM788" s="140"/>
      <c r="AN788" s="140"/>
      <c r="AO788" s="140"/>
    </row>
    <row r="789" spans="30:41">
      <c r="AD789" s="140"/>
      <c r="AE789" s="140"/>
      <c r="AF789" s="140"/>
      <c r="AG789" s="140"/>
      <c r="AH789" s="140"/>
      <c r="AI789" s="140"/>
      <c r="AJ789" s="140"/>
      <c r="AK789" s="140"/>
      <c r="AL789" s="140"/>
      <c r="AM789" s="140"/>
      <c r="AN789" s="140"/>
      <c r="AO789" s="140"/>
    </row>
    <row r="790" spans="30:41">
      <c r="AD790" s="140"/>
      <c r="AE790" s="140"/>
      <c r="AF790" s="140"/>
      <c r="AG790" s="140"/>
      <c r="AH790" s="140"/>
      <c r="AI790" s="140"/>
      <c r="AJ790" s="140"/>
      <c r="AK790" s="140"/>
      <c r="AL790" s="140"/>
      <c r="AM790" s="140"/>
      <c r="AN790" s="140"/>
      <c r="AO790" s="140"/>
    </row>
    <row r="791" spans="30:41">
      <c r="AD791" s="140"/>
      <c r="AE791" s="140"/>
      <c r="AF791" s="140"/>
      <c r="AG791" s="140"/>
      <c r="AH791" s="140"/>
      <c r="AI791" s="140"/>
      <c r="AJ791" s="140"/>
      <c r="AK791" s="140"/>
      <c r="AL791" s="140"/>
      <c r="AM791" s="140"/>
      <c r="AN791" s="140"/>
      <c r="AO791" s="140"/>
    </row>
    <row r="792" spans="30:41">
      <c r="AD792" s="140"/>
      <c r="AE792" s="140"/>
      <c r="AF792" s="140"/>
      <c r="AG792" s="140"/>
      <c r="AH792" s="140"/>
      <c r="AI792" s="140"/>
      <c r="AJ792" s="140"/>
      <c r="AK792" s="140"/>
      <c r="AL792" s="140"/>
      <c r="AM792" s="140"/>
      <c r="AN792" s="140"/>
      <c r="AO792" s="140"/>
    </row>
    <row r="793" spans="30:41">
      <c r="AD793" s="140"/>
      <c r="AE793" s="140"/>
      <c r="AF793" s="140"/>
      <c r="AG793" s="140"/>
      <c r="AH793" s="140"/>
      <c r="AI793" s="140"/>
      <c r="AJ793" s="140"/>
      <c r="AK793" s="140"/>
      <c r="AL793" s="140"/>
      <c r="AM793" s="140"/>
      <c r="AN793" s="140"/>
      <c r="AO793" s="140"/>
    </row>
    <row r="794" spans="30:41">
      <c r="AD794" s="140"/>
      <c r="AE794" s="140"/>
      <c r="AF794" s="140"/>
      <c r="AG794" s="140"/>
      <c r="AH794" s="140"/>
      <c r="AI794" s="140"/>
      <c r="AJ794" s="140"/>
      <c r="AK794" s="140"/>
      <c r="AL794" s="140"/>
      <c r="AM794" s="140"/>
      <c r="AN794" s="140"/>
      <c r="AO794" s="140"/>
    </row>
    <row r="795" spans="30:41">
      <c r="AD795" s="140"/>
      <c r="AE795" s="140"/>
      <c r="AF795" s="140"/>
      <c r="AG795" s="140"/>
      <c r="AH795" s="140"/>
      <c r="AI795" s="140"/>
      <c r="AJ795" s="140"/>
      <c r="AK795" s="140"/>
      <c r="AL795" s="140"/>
      <c r="AM795" s="140"/>
      <c r="AN795" s="140"/>
      <c r="AO795" s="140"/>
    </row>
    <row r="796" spans="30:41">
      <c r="AD796" s="140"/>
      <c r="AE796" s="140"/>
      <c r="AF796" s="140"/>
      <c r="AG796" s="140"/>
      <c r="AH796" s="140"/>
      <c r="AI796" s="140"/>
      <c r="AJ796" s="140"/>
      <c r="AK796" s="140"/>
      <c r="AL796" s="140"/>
      <c r="AM796" s="140"/>
      <c r="AN796" s="140"/>
      <c r="AO796" s="140"/>
    </row>
    <row r="797" spans="30:41">
      <c r="AD797" s="140"/>
      <c r="AE797" s="140"/>
      <c r="AF797" s="140"/>
      <c r="AG797" s="140"/>
      <c r="AH797" s="140"/>
      <c r="AI797" s="140"/>
      <c r="AJ797" s="140"/>
      <c r="AK797" s="140"/>
      <c r="AL797" s="140"/>
      <c r="AM797" s="140"/>
      <c r="AN797" s="140"/>
      <c r="AO797" s="140"/>
    </row>
    <row r="798" spans="30:41">
      <c r="AD798" s="140"/>
      <c r="AE798" s="140"/>
      <c r="AF798" s="140"/>
      <c r="AG798" s="140"/>
      <c r="AH798" s="140"/>
      <c r="AI798" s="140"/>
      <c r="AJ798" s="140"/>
      <c r="AK798" s="140"/>
      <c r="AL798" s="140"/>
      <c r="AM798" s="140"/>
      <c r="AN798" s="140"/>
      <c r="AO798" s="140"/>
    </row>
    <row r="799" spans="30:41">
      <c r="AD799" s="140"/>
      <c r="AE799" s="140"/>
      <c r="AF799" s="140"/>
      <c r="AG799" s="140"/>
      <c r="AH799" s="140"/>
      <c r="AI799" s="140"/>
      <c r="AJ799" s="140"/>
      <c r="AK799" s="140"/>
      <c r="AL799" s="140"/>
      <c r="AM799" s="140"/>
      <c r="AN799" s="140"/>
      <c r="AO799" s="140"/>
    </row>
    <row r="800" spans="30:41">
      <c r="AD800" s="140"/>
      <c r="AE800" s="140"/>
      <c r="AF800" s="140"/>
      <c r="AG800" s="140"/>
      <c r="AH800" s="140"/>
      <c r="AI800" s="140"/>
      <c r="AJ800" s="140"/>
      <c r="AK800" s="140"/>
      <c r="AL800" s="140"/>
      <c r="AM800" s="140"/>
      <c r="AN800" s="140"/>
      <c r="AO800" s="140"/>
    </row>
    <row r="801" spans="30:41">
      <c r="AD801" s="140"/>
      <c r="AE801" s="140"/>
      <c r="AF801" s="140"/>
      <c r="AG801" s="140"/>
      <c r="AH801" s="140"/>
      <c r="AI801" s="140"/>
      <c r="AJ801" s="140"/>
      <c r="AK801" s="140"/>
      <c r="AL801" s="140"/>
      <c r="AM801" s="140"/>
      <c r="AN801" s="140"/>
      <c r="AO801" s="140"/>
    </row>
    <row r="802" spans="30:41">
      <c r="AD802" s="140"/>
      <c r="AE802" s="140"/>
      <c r="AF802" s="140"/>
      <c r="AG802" s="140"/>
      <c r="AH802" s="140"/>
      <c r="AI802" s="140"/>
      <c r="AJ802" s="140"/>
      <c r="AK802" s="140"/>
      <c r="AL802" s="140"/>
      <c r="AM802" s="140"/>
      <c r="AN802" s="140"/>
      <c r="AO802" s="140"/>
    </row>
    <row r="803" spans="30:41">
      <c r="AD803" s="140"/>
      <c r="AE803" s="140"/>
      <c r="AF803" s="140"/>
      <c r="AG803" s="140"/>
      <c r="AH803" s="140"/>
      <c r="AI803" s="140"/>
      <c r="AJ803" s="140"/>
      <c r="AK803" s="140"/>
      <c r="AL803" s="140"/>
      <c r="AM803" s="140"/>
      <c r="AN803" s="140"/>
      <c r="AO803" s="140"/>
    </row>
    <row r="804" spans="30:41">
      <c r="AD804" s="140"/>
      <c r="AE804" s="140"/>
      <c r="AF804" s="140"/>
      <c r="AG804" s="140"/>
      <c r="AH804" s="140"/>
      <c r="AI804" s="140"/>
      <c r="AJ804" s="140"/>
      <c r="AK804" s="140"/>
      <c r="AL804" s="140"/>
      <c r="AM804" s="140"/>
      <c r="AN804" s="140"/>
      <c r="AO804" s="140"/>
    </row>
    <row r="805" spans="30:41">
      <c r="AD805" s="140"/>
      <c r="AE805" s="140"/>
      <c r="AF805" s="140"/>
      <c r="AG805" s="140"/>
      <c r="AH805" s="140"/>
      <c r="AI805" s="140"/>
      <c r="AJ805" s="140"/>
      <c r="AK805" s="140"/>
      <c r="AL805" s="140"/>
      <c r="AM805" s="140"/>
      <c r="AN805" s="140"/>
      <c r="AO805" s="140"/>
    </row>
    <row r="806" spans="30:41">
      <c r="AD806" s="140"/>
      <c r="AE806" s="140"/>
      <c r="AF806" s="140"/>
      <c r="AG806" s="140"/>
      <c r="AH806" s="140"/>
      <c r="AI806" s="140"/>
      <c r="AJ806" s="140"/>
      <c r="AK806" s="140"/>
      <c r="AL806" s="140"/>
      <c r="AM806" s="140"/>
      <c r="AN806" s="140"/>
      <c r="AO806" s="140"/>
    </row>
    <row r="807" spans="30:41">
      <c r="AD807" s="140"/>
      <c r="AE807" s="140"/>
      <c r="AF807" s="140"/>
      <c r="AG807" s="140"/>
      <c r="AH807" s="140"/>
      <c r="AI807" s="140"/>
      <c r="AJ807" s="140"/>
      <c r="AK807" s="140"/>
      <c r="AL807" s="140"/>
      <c r="AM807" s="140"/>
      <c r="AN807" s="140"/>
      <c r="AO807" s="140"/>
    </row>
    <row r="808" spans="30:41">
      <c r="AD808" s="140"/>
      <c r="AE808" s="140"/>
      <c r="AF808" s="140"/>
      <c r="AG808" s="140"/>
      <c r="AH808" s="140"/>
      <c r="AI808" s="140"/>
      <c r="AJ808" s="140"/>
      <c r="AK808" s="140"/>
      <c r="AL808" s="140"/>
      <c r="AM808" s="140"/>
      <c r="AN808" s="140"/>
      <c r="AO808" s="140"/>
    </row>
    <row r="809" spans="30:41">
      <c r="AD809" s="140"/>
      <c r="AE809" s="140"/>
      <c r="AF809" s="140"/>
      <c r="AG809" s="140"/>
      <c r="AH809" s="140"/>
      <c r="AI809" s="140"/>
      <c r="AJ809" s="140"/>
      <c r="AK809" s="140"/>
      <c r="AL809" s="140"/>
      <c r="AM809" s="140"/>
      <c r="AN809" s="140"/>
      <c r="AO809" s="140"/>
    </row>
    <row r="810" spans="30:41">
      <c r="AD810" s="140"/>
      <c r="AE810" s="140"/>
      <c r="AF810" s="140"/>
      <c r="AG810" s="140"/>
      <c r="AH810" s="140"/>
      <c r="AI810" s="140"/>
      <c r="AJ810" s="140"/>
      <c r="AK810" s="140"/>
      <c r="AL810" s="140"/>
      <c r="AM810" s="140"/>
      <c r="AN810" s="140"/>
      <c r="AO810" s="140"/>
    </row>
    <row r="811" spans="30:41">
      <c r="AD811" s="140"/>
      <c r="AE811" s="140"/>
      <c r="AF811" s="140"/>
      <c r="AG811" s="140"/>
      <c r="AH811" s="140"/>
      <c r="AI811" s="140"/>
      <c r="AJ811" s="140"/>
      <c r="AK811" s="140"/>
      <c r="AL811" s="140"/>
      <c r="AM811" s="140"/>
      <c r="AN811" s="140"/>
      <c r="AO811" s="140"/>
    </row>
    <row r="812" spans="30:41">
      <c r="AD812" s="140"/>
      <c r="AE812" s="140"/>
      <c r="AF812" s="140"/>
      <c r="AG812" s="140"/>
      <c r="AH812" s="140"/>
      <c r="AI812" s="140"/>
      <c r="AJ812" s="140"/>
      <c r="AK812" s="140"/>
      <c r="AL812" s="140"/>
      <c r="AM812" s="140"/>
      <c r="AN812" s="140"/>
      <c r="AO812" s="140"/>
    </row>
    <row r="813" spans="30:41">
      <c r="AD813" s="140"/>
      <c r="AE813" s="140"/>
      <c r="AF813" s="140"/>
      <c r="AG813" s="140"/>
      <c r="AH813" s="140"/>
      <c r="AI813" s="140"/>
      <c r="AJ813" s="140"/>
      <c r="AK813" s="140"/>
      <c r="AL813" s="140"/>
      <c r="AM813" s="140"/>
      <c r="AN813" s="140"/>
      <c r="AO813" s="140"/>
    </row>
    <row r="814" spans="30:41">
      <c r="AD814" s="140"/>
      <c r="AE814" s="140"/>
      <c r="AF814" s="140">
        <v>117</v>
      </c>
      <c r="AG814" s="140"/>
      <c r="AH814" s="140"/>
      <c r="AI814" s="140"/>
      <c r="AJ814" s="140"/>
      <c r="AK814" s="140"/>
      <c r="AL814" s="140"/>
      <c r="AM814" s="140"/>
      <c r="AN814" s="140"/>
      <c r="AO814" s="140"/>
    </row>
    <row r="815" spans="30:41">
      <c r="AD815" s="140"/>
      <c r="AE815" s="140"/>
      <c r="AF815" s="140"/>
      <c r="AG815" s="140"/>
      <c r="AH815" s="140"/>
      <c r="AI815" s="140"/>
      <c r="AJ815" s="140"/>
      <c r="AK815" s="140"/>
      <c r="AL815" s="140"/>
      <c r="AM815" s="140"/>
      <c r="AN815" s="140"/>
      <c r="AO815" s="140"/>
    </row>
    <row r="816" spans="30:41">
      <c r="AD816" s="140"/>
      <c r="AE816" s="140"/>
      <c r="AF816" s="140"/>
      <c r="AG816" s="140"/>
      <c r="AH816" s="140"/>
      <c r="AI816" s="140"/>
      <c r="AJ816" s="140"/>
      <c r="AK816" s="140"/>
      <c r="AL816" s="140"/>
      <c r="AM816" s="140"/>
      <c r="AN816" s="140"/>
      <c r="AO816" s="140"/>
    </row>
    <row r="817" spans="30:41">
      <c r="AD817" s="140"/>
      <c r="AE817" s="140"/>
      <c r="AF817" s="140"/>
      <c r="AG817" s="140"/>
      <c r="AH817" s="140"/>
      <c r="AI817" s="140"/>
      <c r="AJ817" s="140"/>
      <c r="AK817" s="140"/>
      <c r="AL817" s="140"/>
      <c r="AM817" s="140"/>
      <c r="AN817" s="140"/>
      <c r="AO817" s="140"/>
    </row>
    <row r="818" spans="30:41">
      <c r="AD818" s="140"/>
      <c r="AE818" s="140"/>
      <c r="AF818" s="140"/>
      <c r="AG818" s="140"/>
      <c r="AH818" s="140"/>
      <c r="AI818" s="140"/>
      <c r="AJ818" s="140"/>
      <c r="AK818" s="140"/>
      <c r="AL818" s="140"/>
      <c r="AM818" s="140"/>
      <c r="AN818" s="140"/>
      <c r="AO818" s="140"/>
    </row>
    <row r="819" spans="30:41">
      <c r="AD819" s="140"/>
      <c r="AE819" s="140"/>
      <c r="AF819" s="140"/>
      <c r="AG819" s="140"/>
      <c r="AH819" s="140"/>
      <c r="AI819" s="140"/>
      <c r="AJ819" s="140"/>
      <c r="AK819" s="140"/>
      <c r="AL819" s="140"/>
      <c r="AM819" s="140"/>
      <c r="AN819" s="140"/>
      <c r="AO819" s="140"/>
    </row>
    <row r="820" spans="30:41">
      <c r="AD820" s="140"/>
      <c r="AE820" s="140"/>
      <c r="AF820" s="140"/>
      <c r="AG820" s="140"/>
      <c r="AH820" s="140"/>
      <c r="AI820" s="140"/>
      <c r="AJ820" s="140"/>
      <c r="AK820" s="140"/>
      <c r="AL820" s="140"/>
      <c r="AM820" s="140"/>
      <c r="AN820" s="140"/>
      <c r="AO820" s="140"/>
    </row>
    <row r="821" spans="30:41">
      <c r="AD821" s="140"/>
      <c r="AE821" s="140"/>
      <c r="AF821" s="140"/>
      <c r="AG821" s="140"/>
      <c r="AH821" s="140"/>
      <c r="AI821" s="140"/>
      <c r="AJ821" s="140"/>
      <c r="AK821" s="140"/>
      <c r="AL821" s="140"/>
      <c r="AM821" s="140"/>
      <c r="AN821" s="140"/>
      <c r="AO821" s="140"/>
    </row>
    <row r="822" spans="30:41">
      <c r="AD822" s="140"/>
      <c r="AE822" s="140"/>
      <c r="AF822" s="140"/>
      <c r="AG822" s="140"/>
      <c r="AH822" s="140"/>
      <c r="AI822" s="140"/>
      <c r="AJ822" s="140"/>
      <c r="AK822" s="140"/>
      <c r="AL822" s="140"/>
      <c r="AM822" s="140"/>
      <c r="AN822" s="140"/>
      <c r="AO822" s="140"/>
    </row>
    <row r="823" spans="30:41">
      <c r="AD823" s="140"/>
      <c r="AE823" s="140"/>
      <c r="AF823" s="140"/>
      <c r="AG823" s="140"/>
      <c r="AH823" s="140"/>
      <c r="AI823" s="140"/>
      <c r="AJ823" s="140"/>
      <c r="AK823" s="140"/>
      <c r="AL823" s="140"/>
      <c r="AM823" s="140"/>
      <c r="AN823" s="140"/>
      <c r="AO823" s="140"/>
    </row>
    <row r="824" spans="30:41">
      <c r="AD824" s="140"/>
      <c r="AE824" s="140"/>
      <c r="AF824" s="140"/>
      <c r="AG824" s="140"/>
      <c r="AH824" s="140"/>
      <c r="AI824" s="140"/>
      <c r="AJ824" s="140"/>
      <c r="AK824" s="140"/>
      <c r="AL824" s="140"/>
      <c r="AM824" s="140"/>
      <c r="AN824" s="140"/>
      <c r="AO824" s="140"/>
    </row>
    <row r="825" spans="30:41">
      <c r="AD825" s="140"/>
      <c r="AE825" s="140"/>
      <c r="AF825" s="140"/>
      <c r="AG825" s="140"/>
      <c r="AH825" s="140"/>
      <c r="AI825" s="140"/>
      <c r="AJ825" s="140"/>
      <c r="AK825" s="140"/>
      <c r="AL825" s="140"/>
      <c r="AM825" s="140"/>
      <c r="AN825" s="140"/>
      <c r="AO825" s="140"/>
    </row>
    <row r="826" spans="30:41">
      <c r="AD826" s="140"/>
      <c r="AE826" s="140"/>
      <c r="AF826" s="140"/>
      <c r="AG826" s="140"/>
      <c r="AH826" s="140"/>
      <c r="AI826" s="140"/>
      <c r="AJ826" s="140"/>
      <c r="AK826" s="140"/>
      <c r="AL826" s="140"/>
      <c r="AM826" s="140"/>
      <c r="AN826" s="140"/>
      <c r="AO826" s="140"/>
    </row>
  </sheetData>
  <mergeCells count="8">
    <mergeCell ref="D95:E95"/>
    <mergeCell ref="D116:E116"/>
    <mergeCell ref="D117:E117"/>
    <mergeCell ref="B137:M137"/>
    <mergeCell ref="D7:E7"/>
    <mergeCell ref="D28:E28"/>
    <mergeCell ref="D50:E50"/>
    <mergeCell ref="D73:E73"/>
  </mergeCells>
  <phoneticPr fontId="6" type="noConversion"/>
  <pageMargins left="0.7" right="0.7" top="0.75" bottom="0.75" header="0.3" footer="0.3"/>
  <pageSetup scale="11" fitToHeight="2" orientation="portrait" r:id="rId1"/>
  <headerFooter>
    <oddFooter>&amp;L&amp;F&amp;C&amp;A&amp;R&amp;D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opLeftCell="A16" workbookViewId="0">
      <selection activeCell="I16" sqref="I16"/>
    </sheetView>
  </sheetViews>
  <sheetFormatPr defaultColWidth="9.140625" defaultRowHeight="13.5"/>
  <cols>
    <col min="1" max="1" width="17" style="16" customWidth="1"/>
    <col min="2" max="2" width="20.5703125" style="16" customWidth="1"/>
    <col min="3" max="3" width="10.5703125" style="16" customWidth="1"/>
    <col min="4" max="4" width="11.5703125" style="16" bestFit="1" customWidth="1"/>
    <col min="5" max="5" width="12.85546875" style="16" customWidth="1"/>
    <col min="6" max="6" width="12.5703125" style="16" customWidth="1"/>
    <col min="7" max="8" width="2.5703125" style="16" customWidth="1"/>
    <col min="9" max="9" width="20.5703125" style="16" customWidth="1"/>
    <col min="10" max="10" width="2.5703125" style="16" customWidth="1"/>
    <col min="11" max="15" width="10.5703125" style="16" customWidth="1"/>
    <col min="16" max="16" width="2.5703125" style="16" customWidth="1"/>
    <col min="17" max="17" width="12.5703125" style="16" customWidth="1"/>
    <col min="18" max="16384" width="9.140625" style="16"/>
  </cols>
  <sheetData>
    <row r="1" spans="1:17" ht="15.75">
      <c r="A1" s="394" t="s">
        <v>252</v>
      </c>
      <c r="B1" s="394"/>
      <c r="C1" s="394"/>
      <c r="D1" s="394"/>
      <c r="E1" s="394"/>
      <c r="F1" s="394"/>
      <c r="K1" s="17"/>
      <c r="L1" s="17"/>
      <c r="M1" s="17"/>
      <c r="N1" s="17"/>
      <c r="O1" s="17"/>
      <c r="Q1" s="17"/>
    </row>
    <row r="2" spans="1:17" ht="15.75">
      <c r="A2" s="394" t="s">
        <v>253</v>
      </c>
      <c r="B2" s="394"/>
      <c r="C2" s="394"/>
      <c r="D2" s="394"/>
      <c r="E2" s="394"/>
      <c r="F2" s="394"/>
      <c r="K2" s="18"/>
      <c r="L2" s="18"/>
      <c r="M2" s="18"/>
      <c r="N2" s="18"/>
      <c r="O2" s="18"/>
      <c r="Q2" s="17"/>
    </row>
    <row r="3" spans="1:17">
      <c r="A3" s="292"/>
      <c r="B3" s="292"/>
      <c r="C3" s="20"/>
      <c r="D3" s="20"/>
      <c r="E3" s="20"/>
      <c r="F3" s="20"/>
      <c r="K3" s="21"/>
      <c r="L3" s="21"/>
      <c r="M3" s="21"/>
      <c r="N3" s="21"/>
      <c r="O3" s="21"/>
      <c r="Q3" s="17"/>
    </row>
    <row r="4" spans="1:17">
      <c r="C4" s="21"/>
      <c r="D4" s="21"/>
      <c r="E4" s="21"/>
      <c r="F4" s="21"/>
    </row>
    <row r="5" spans="1:17">
      <c r="A5" s="395" t="s">
        <v>176</v>
      </c>
      <c r="B5" s="396"/>
      <c r="C5" s="396"/>
      <c r="D5" s="396"/>
      <c r="E5" s="396"/>
      <c r="F5" s="397"/>
    </row>
    <row r="6" spans="1:17">
      <c r="A6" s="23"/>
      <c r="B6" s="24"/>
      <c r="C6" s="22">
        <v>41974</v>
      </c>
      <c r="D6" s="22">
        <v>42005</v>
      </c>
      <c r="E6" s="22">
        <v>42036</v>
      </c>
      <c r="F6" s="25" t="s">
        <v>36</v>
      </c>
    </row>
    <row r="7" spans="1:17">
      <c r="A7" s="23"/>
      <c r="B7" s="24" t="s">
        <v>34</v>
      </c>
      <c r="C7" s="26">
        <f>1119*31</f>
        <v>34689</v>
      </c>
      <c r="D7" s="26">
        <f>1119*31</f>
        <v>34689</v>
      </c>
      <c r="E7" s="26">
        <f>1119*28</f>
        <v>31332</v>
      </c>
      <c r="F7" s="27">
        <f>SUM(C7:E7)</f>
        <v>100710</v>
      </c>
      <c r="H7" s="17"/>
      <c r="I7" s="17"/>
    </row>
    <row r="8" spans="1:17">
      <c r="A8" s="23"/>
      <c r="B8" s="24" t="s">
        <v>35</v>
      </c>
      <c r="C8" s="28">
        <v>4.71</v>
      </c>
      <c r="D8" s="28">
        <v>4.71</v>
      </c>
      <c r="E8" s="28">
        <v>4.71</v>
      </c>
      <c r="F8" s="29">
        <f>F9/F7</f>
        <v>4.71</v>
      </c>
    </row>
    <row r="9" spans="1:17" s="19" customFormat="1" thickBot="1">
      <c r="A9" s="35"/>
      <c r="B9" s="32" t="s">
        <v>37</v>
      </c>
      <c r="C9" s="33">
        <f>C7*C8</f>
        <v>163385.19</v>
      </c>
      <c r="D9" s="33">
        <f>D7*D8</f>
        <v>163385.19</v>
      </c>
      <c r="E9" s="33">
        <f>E7*E8</f>
        <v>147573.72</v>
      </c>
      <c r="F9" s="34">
        <f>SUM(C9:E9)</f>
        <v>474344.1</v>
      </c>
      <c r="I9" s="30"/>
    </row>
    <row r="10" spans="1:17" ht="14.25" thickTop="1"/>
    <row r="11" spans="1:17" ht="14.25" customHeight="1">
      <c r="A11" s="395" t="s">
        <v>177</v>
      </c>
      <c r="B11" s="396"/>
      <c r="C11" s="396"/>
      <c r="D11" s="396"/>
      <c r="E11" s="396"/>
      <c r="F11" s="397"/>
    </row>
    <row r="12" spans="1:17">
      <c r="A12" s="23"/>
      <c r="B12" s="24"/>
      <c r="C12" s="22">
        <f>C6</f>
        <v>41974</v>
      </c>
      <c r="D12" s="22">
        <f>D6</f>
        <v>42005</v>
      </c>
      <c r="E12" s="22">
        <f>E6</f>
        <v>42036</v>
      </c>
      <c r="F12" s="25" t="str">
        <f>F6</f>
        <v>Total/Avg</v>
      </c>
    </row>
    <row r="13" spans="1:17">
      <c r="A13" s="23"/>
      <c r="B13" s="24" t="s">
        <v>34</v>
      </c>
      <c r="C13" s="26">
        <f>1119*31</f>
        <v>34689</v>
      </c>
      <c r="D13" s="26">
        <f>1119*31</f>
        <v>34689</v>
      </c>
      <c r="E13" s="26">
        <f>1119*28</f>
        <v>31332</v>
      </c>
      <c r="F13" s="27">
        <f>SUM(C13:E13)</f>
        <v>100710</v>
      </c>
      <c r="H13" s="17"/>
    </row>
    <row r="14" spans="1:17">
      <c r="A14" s="23"/>
      <c r="B14" s="24" t="s">
        <v>35</v>
      </c>
      <c r="C14" s="144">
        <v>4.2300000000000004</v>
      </c>
      <c r="D14" s="144">
        <v>4.2300000000000004</v>
      </c>
      <c r="E14" s="144">
        <v>4.2300000000000004</v>
      </c>
      <c r="F14" s="29">
        <f>F15/F13</f>
        <v>4.2300000000000004</v>
      </c>
    </row>
    <row r="15" spans="1:17" ht="14.25" thickBot="1">
      <c r="A15" s="31"/>
      <c r="B15" s="32" t="s">
        <v>37</v>
      </c>
      <c r="C15" s="33">
        <f>C13*C14</f>
        <v>146734.47</v>
      </c>
      <c r="D15" s="33">
        <f>D13*D14</f>
        <v>146734.47</v>
      </c>
      <c r="E15" s="33">
        <f>E13*E14</f>
        <v>132534.36000000002</v>
      </c>
      <c r="F15" s="34">
        <f>SUM(C15:E15)</f>
        <v>426003.30000000005</v>
      </c>
    </row>
    <row r="16" spans="1:17" ht="14.25" thickTop="1">
      <c r="A16" s="24"/>
      <c r="B16" s="232"/>
      <c r="C16" s="233"/>
      <c r="D16" s="233"/>
      <c r="E16" s="233"/>
      <c r="F16" s="234"/>
    </row>
    <row r="17" spans="1:6">
      <c r="A17" s="395" t="s">
        <v>185</v>
      </c>
      <c r="B17" s="396"/>
      <c r="C17" s="396"/>
      <c r="D17" s="396"/>
      <c r="E17" s="396"/>
      <c r="F17" s="397"/>
    </row>
    <row r="18" spans="1:6">
      <c r="A18" s="23"/>
      <c r="B18" s="24"/>
      <c r="C18" s="22">
        <f>C6</f>
        <v>41974</v>
      </c>
      <c r="D18" s="22">
        <f>D6</f>
        <v>42005</v>
      </c>
      <c r="E18" s="22">
        <f>E6</f>
        <v>42036</v>
      </c>
      <c r="F18" s="25" t="s">
        <v>36</v>
      </c>
    </row>
    <row r="19" spans="1:6">
      <c r="A19" s="23"/>
      <c r="B19" s="24" t="s">
        <v>34</v>
      </c>
      <c r="C19" s="26">
        <f>1119*31</f>
        <v>34689</v>
      </c>
      <c r="D19" s="26">
        <f>1119*31</f>
        <v>34689</v>
      </c>
      <c r="E19" s="26">
        <f>1119*28</f>
        <v>31332</v>
      </c>
      <c r="F19" s="27">
        <f>SUM(C19:E19)</f>
        <v>100710</v>
      </c>
    </row>
    <row r="20" spans="1:6">
      <c r="A20" s="23"/>
      <c r="B20" s="24" t="s">
        <v>35</v>
      </c>
      <c r="C20" s="28">
        <v>4.09</v>
      </c>
      <c r="D20" s="28">
        <v>4.09</v>
      </c>
      <c r="E20" s="28">
        <v>4.09</v>
      </c>
      <c r="F20" s="29">
        <f>F21/F19</f>
        <v>4.09</v>
      </c>
    </row>
    <row r="21" spans="1:6" ht="14.25" thickBot="1">
      <c r="A21" s="35"/>
      <c r="B21" s="32" t="s">
        <v>37</v>
      </c>
      <c r="C21" s="33">
        <f>C19*C20</f>
        <v>141878.01</v>
      </c>
      <c r="D21" s="33">
        <f>D19*D20</f>
        <v>141878.01</v>
      </c>
      <c r="E21" s="33">
        <f>E19*E20</f>
        <v>128147.87999999999</v>
      </c>
      <c r="F21" s="34">
        <f>SUM(C21:E21)</f>
        <v>411903.9</v>
      </c>
    </row>
    <row r="22" spans="1:6" ht="14.25" thickTop="1">
      <c r="A22" s="232"/>
      <c r="B22" s="239"/>
      <c r="C22" s="240"/>
      <c r="D22" s="240"/>
      <c r="E22" s="240"/>
      <c r="F22" s="241"/>
    </row>
    <row r="23" spans="1:6">
      <c r="A23" s="24"/>
      <c r="B23" s="235" t="s">
        <v>183</v>
      </c>
      <c r="C23" s="236">
        <f>C7+C13+C19</f>
        <v>104067</v>
      </c>
      <c r="D23" s="236">
        <f>D7+D13+D19</f>
        <v>104067</v>
      </c>
      <c r="E23" s="236">
        <f>E7+E13+E19</f>
        <v>93996</v>
      </c>
      <c r="F23" s="238">
        <f>SUM(C23:E23)</f>
        <v>302130</v>
      </c>
    </row>
    <row r="24" spans="1:6" ht="14.25" thickBot="1">
      <c r="A24" s="24"/>
      <c r="B24" s="235" t="s">
        <v>184</v>
      </c>
      <c r="C24" s="237">
        <f>C9+C15+C21</f>
        <v>451997.67000000004</v>
      </c>
      <c r="D24" s="237">
        <f>D9+D15+D21</f>
        <v>451997.67000000004</v>
      </c>
      <c r="E24" s="237">
        <f>E9+E15+E21</f>
        <v>408255.96</v>
      </c>
      <c r="F24" s="242">
        <f>SUM(C24:E24)</f>
        <v>1312251.3</v>
      </c>
    </row>
    <row r="25" spans="1:6" ht="15" customHeight="1" thickBot="1">
      <c r="C25" s="392" t="s">
        <v>157</v>
      </c>
      <c r="D25" s="393"/>
      <c r="E25" s="393"/>
      <c r="F25" s="243">
        <f>F24/F23</f>
        <v>4.3433333333333337</v>
      </c>
    </row>
  </sheetData>
  <mergeCells count="6">
    <mergeCell ref="C25:E25"/>
    <mergeCell ref="A1:F1"/>
    <mergeCell ref="A2:F2"/>
    <mergeCell ref="A5:F5"/>
    <mergeCell ref="A11:F11"/>
    <mergeCell ref="A17:F17"/>
  </mergeCells>
  <phoneticPr fontId="6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D7" sqref="D7"/>
    </sheetView>
  </sheetViews>
  <sheetFormatPr defaultRowHeight="15"/>
  <cols>
    <col min="1" max="1" width="12.85546875" bestFit="1" customWidth="1"/>
    <col min="2" max="3" width="13.42578125" bestFit="1" customWidth="1"/>
    <col min="4" max="4" width="14" customWidth="1"/>
  </cols>
  <sheetData>
    <row r="1" spans="1:4">
      <c r="A1" t="s">
        <v>168</v>
      </c>
    </row>
    <row r="2" spans="1:4">
      <c r="A2" t="s">
        <v>236</v>
      </c>
      <c r="B2" s="36"/>
    </row>
    <row r="3" spans="1:4">
      <c r="B3" s="36"/>
    </row>
    <row r="4" spans="1:4" s="36" customFormat="1">
      <c r="A4" s="38" t="s">
        <v>97</v>
      </c>
      <c r="B4" s="38" t="s">
        <v>94</v>
      </c>
      <c r="C4" s="38" t="s">
        <v>95</v>
      </c>
      <c r="D4" s="38" t="s">
        <v>96</v>
      </c>
    </row>
    <row r="5" spans="1:4">
      <c r="A5" s="62">
        <v>41548</v>
      </c>
      <c r="B5" s="41">
        <f>119838+45537</f>
        <v>165375</v>
      </c>
      <c r="C5" s="41">
        <f>122453+46547</f>
        <v>169000</v>
      </c>
      <c r="D5" s="63">
        <f t="shared" ref="D5:D17" si="0">C5/B5</f>
        <v>1.0219198790627362</v>
      </c>
    </row>
    <row r="6" spans="1:4">
      <c r="A6" s="62">
        <v>41579</v>
      </c>
      <c r="B6" s="41">
        <f>48250+201517</f>
        <v>249767</v>
      </c>
      <c r="C6" s="41">
        <f>49169+205403</f>
        <v>254572</v>
      </c>
      <c r="D6" s="63">
        <f t="shared" si="0"/>
        <v>1.0192379297505274</v>
      </c>
    </row>
    <row r="7" spans="1:4">
      <c r="A7" s="163">
        <v>41609</v>
      </c>
      <c r="B7" s="164">
        <f>56668+283782</f>
        <v>340450</v>
      </c>
      <c r="C7" s="164">
        <f>58057+290719</f>
        <v>348776</v>
      </c>
      <c r="D7" s="165">
        <f t="shared" si="0"/>
        <v>1.0244558672345425</v>
      </c>
    </row>
    <row r="8" spans="1:4">
      <c r="A8" s="62">
        <v>41640</v>
      </c>
      <c r="B8" s="41">
        <f>353225+57981</f>
        <v>411206</v>
      </c>
      <c r="C8" s="41">
        <f>362268+59446</f>
        <v>421714</v>
      </c>
      <c r="D8" s="63">
        <f t="shared" si="0"/>
        <v>1.0255541018370355</v>
      </c>
    </row>
    <row r="9" spans="1:4">
      <c r="A9" s="62">
        <v>41671</v>
      </c>
      <c r="B9" s="41">
        <f>49774+297567</f>
        <v>347341</v>
      </c>
      <c r="C9" s="41">
        <f>50919+304446</f>
        <v>355365</v>
      </c>
      <c r="D9" s="63">
        <f t="shared" si="0"/>
        <v>1.0231012175355054</v>
      </c>
    </row>
    <row r="10" spans="1:4">
      <c r="A10" s="62">
        <v>41699</v>
      </c>
      <c r="B10" s="41">
        <f>49452+241562</f>
        <v>291014</v>
      </c>
      <c r="C10" s="190">
        <f>50454+246520</f>
        <v>296974</v>
      </c>
      <c r="D10" s="63">
        <f t="shared" si="0"/>
        <v>1.0204801143587594</v>
      </c>
    </row>
    <row r="11" spans="1:4">
      <c r="A11" s="62">
        <v>41730</v>
      </c>
      <c r="B11" s="41">
        <f>140460+36261</f>
        <v>176721</v>
      </c>
      <c r="C11" s="41">
        <f>143368+36993</f>
        <v>180361</v>
      </c>
      <c r="D11" s="63">
        <f t="shared" si="0"/>
        <v>1.0205974389008663</v>
      </c>
    </row>
    <row r="12" spans="1:4">
      <c r="A12" s="62">
        <v>41760</v>
      </c>
      <c r="B12" s="190">
        <f>104541+36210</f>
        <v>140751</v>
      </c>
      <c r="C12" s="41">
        <f>106801+37023</f>
        <v>143824</v>
      </c>
      <c r="D12" s="63">
        <f t="shared" si="0"/>
        <v>1.0218328821820093</v>
      </c>
    </row>
    <row r="13" spans="1:4">
      <c r="A13" s="62">
        <v>41791</v>
      </c>
      <c r="B13" s="41">
        <f>97237+32833</f>
        <v>130070</v>
      </c>
      <c r="C13" s="41">
        <f>99409+33541</f>
        <v>132950</v>
      </c>
      <c r="D13" s="63">
        <f t="shared" si="0"/>
        <v>1.022141923579611</v>
      </c>
    </row>
    <row r="14" spans="1:4">
      <c r="A14" s="62">
        <v>41821</v>
      </c>
      <c r="B14" s="41">
        <f>33224+103006</f>
        <v>136230</v>
      </c>
      <c r="C14" s="41">
        <f>33757+104703</f>
        <v>138460</v>
      </c>
      <c r="D14" s="63">
        <f t="shared" si="0"/>
        <v>1.016369375321148</v>
      </c>
    </row>
    <row r="15" spans="1:4">
      <c r="A15" s="62">
        <v>41852</v>
      </c>
      <c r="B15" s="41">
        <f>97176+29391</f>
        <v>126567</v>
      </c>
      <c r="C15" s="190">
        <f>98691+29856</f>
        <v>128547</v>
      </c>
      <c r="D15" s="63">
        <f t="shared" si="0"/>
        <v>1.0156438882173078</v>
      </c>
    </row>
    <row r="16" spans="1:4">
      <c r="A16" s="229">
        <v>41883</v>
      </c>
      <c r="B16" s="230">
        <f>96312+29709</f>
        <v>126021</v>
      </c>
      <c r="C16" s="230">
        <f>97755+30147</f>
        <v>127902</v>
      </c>
      <c r="D16" s="231">
        <f t="shared" si="0"/>
        <v>1.0149260837479468</v>
      </c>
    </row>
    <row r="17" spans="1:4" s="14" customFormat="1" ht="15.75" thickBot="1">
      <c r="A17" s="61" t="s">
        <v>36</v>
      </c>
      <c r="B17" s="65">
        <f>SUM(B5:B16)</f>
        <v>2641513</v>
      </c>
      <c r="C17" s="65">
        <f>SUM(C5:C16)</f>
        <v>2698445</v>
      </c>
      <c r="D17" s="122">
        <f t="shared" si="0"/>
        <v>1.0215527994751492</v>
      </c>
    </row>
    <row r="18" spans="1:4" ht="15.75" thickTop="1"/>
    <row r="19" spans="1:4">
      <c r="A19" s="67" t="s">
        <v>90</v>
      </c>
      <c r="B19" s="361" t="s">
        <v>165</v>
      </c>
      <c r="C19" s="362"/>
      <c r="D19" s="362"/>
    </row>
    <row r="20" spans="1:4">
      <c r="B20" s="362" t="s">
        <v>186</v>
      </c>
      <c r="C20" s="362"/>
      <c r="D20" s="362"/>
    </row>
    <row r="25" spans="1:4">
      <c r="B25" s="9"/>
      <c r="C25" s="9"/>
    </row>
  </sheetData>
  <mergeCells count="2">
    <mergeCell ref="B19:D19"/>
    <mergeCell ref="B20:D20"/>
  </mergeCells>
  <phoneticPr fontId="6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C9" sqref="C9"/>
    </sheetView>
  </sheetViews>
  <sheetFormatPr defaultRowHeight="15"/>
  <cols>
    <col min="3" max="3" width="11.42578125" customWidth="1"/>
    <col min="6" max="6" width="3" customWidth="1"/>
    <col min="7" max="7" width="10.5703125" customWidth="1"/>
    <col min="8" max="8" width="9" bestFit="1" customWidth="1"/>
    <col min="10" max="10" width="3" customWidth="1"/>
    <col min="12" max="12" width="10.5703125" customWidth="1"/>
  </cols>
  <sheetData>
    <row r="1" spans="1:14" ht="18.7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18.75">
      <c r="A2" s="13" t="s">
        <v>244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5" spans="1:14" ht="15.75" thickBot="1">
      <c r="C5" s="334" t="s">
        <v>245</v>
      </c>
      <c r="D5" s="334"/>
      <c r="E5" s="334"/>
      <c r="G5" s="334" t="s">
        <v>132</v>
      </c>
      <c r="H5" s="334"/>
      <c r="I5" s="334"/>
      <c r="K5" s="5" t="s">
        <v>134</v>
      </c>
      <c r="L5" s="127"/>
      <c r="M5" s="200"/>
      <c r="N5" s="200"/>
    </row>
    <row r="6" spans="1:14">
      <c r="K6" s="5" t="s">
        <v>133</v>
      </c>
      <c r="L6" s="127"/>
      <c r="M6" s="127"/>
      <c r="N6" s="200"/>
    </row>
    <row r="7" spans="1:14" ht="15.75" thickBot="1">
      <c r="C7" s="117" t="s">
        <v>153</v>
      </c>
      <c r="D7" s="117" t="s">
        <v>33</v>
      </c>
      <c r="E7" s="117" t="s">
        <v>0</v>
      </c>
      <c r="G7" s="117" t="s">
        <v>153</v>
      </c>
      <c r="H7" s="117" t="s">
        <v>33</v>
      </c>
      <c r="I7" s="117" t="s">
        <v>0</v>
      </c>
      <c r="K7" s="6" t="s">
        <v>246</v>
      </c>
      <c r="L7" s="127"/>
      <c r="M7" s="127"/>
      <c r="N7" s="200"/>
    </row>
    <row r="8" spans="1:14">
      <c r="L8" s="200"/>
      <c r="M8" s="200"/>
      <c r="N8" s="200"/>
    </row>
    <row r="9" spans="1:14">
      <c r="A9" t="s">
        <v>15</v>
      </c>
      <c r="C9" s="299">
        <f>+'Monthly Usage - Rogersville'!O12</f>
        <v>60144.737141463593</v>
      </c>
      <c r="D9" s="299">
        <f>+'Monthly Usage - Branson'!O11</f>
        <v>3313.8414259673782</v>
      </c>
      <c r="E9" s="299">
        <f>SUM(C9:D9)</f>
        <v>63458.578567430974</v>
      </c>
      <c r="G9" s="299">
        <f>+'Monthly Usage - Rogersville'!K12</f>
        <v>5291.1730559938651</v>
      </c>
      <c r="H9" s="299">
        <f>+'Monthly Usage - Branson'!K11</f>
        <v>384.78609848452487</v>
      </c>
      <c r="I9" s="299">
        <f>SUM(G9:H9)</f>
        <v>5675.9591544783898</v>
      </c>
      <c r="K9" s="11">
        <f>+E9/I9</f>
        <v>11.180238764995606</v>
      </c>
      <c r="L9" s="333"/>
      <c r="M9" s="203"/>
      <c r="N9" s="200"/>
    </row>
    <row r="10" spans="1:14">
      <c r="A10" t="s">
        <v>16</v>
      </c>
      <c r="C10" s="299">
        <f>+'Monthly Usage - Rogersville'!O13</f>
        <v>65043.562653572553</v>
      </c>
      <c r="D10" s="299">
        <f>+'Monthly Usage - Branson'!O12</f>
        <v>3578.9404833588064</v>
      </c>
      <c r="E10" s="299">
        <f>SUM(C10:D10)</f>
        <v>68622.503136931366</v>
      </c>
      <c r="G10" s="299">
        <f>+'Monthly Usage - Rogersville'!K13</f>
        <v>5353.3173967731145</v>
      </c>
      <c r="H10" s="299">
        <f>+'Monthly Usage - Branson'!K12</f>
        <v>388.71368053516892</v>
      </c>
      <c r="I10" s="299">
        <f>SUM(G10:H10)</f>
        <v>5742.0310773082838</v>
      </c>
      <c r="K10" s="11">
        <f>+E10/I10</f>
        <v>11.950911134584075</v>
      </c>
      <c r="L10" s="333"/>
      <c r="M10" s="203"/>
      <c r="N10" s="200"/>
    </row>
    <row r="11" spans="1:14">
      <c r="A11" t="s">
        <v>17</v>
      </c>
      <c r="C11" s="299">
        <f>+'Monthly Usage - Rogersville'!O14</f>
        <v>52297.939973945468</v>
      </c>
      <c r="D11" s="299">
        <f>+'Monthly Usage - Branson'!O13</f>
        <v>2873.7391315008331</v>
      </c>
      <c r="E11" s="299">
        <f>SUM(C11:D11)</f>
        <v>55171.679105446303</v>
      </c>
      <c r="G11" s="299">
        <f>+'Monthly Usage - Rogersville'!K14</f>
        <v>5397.6562975409233</v>
      </c>
      <c r="H11" s="299">
        <f>+'Monthly Usage - Branson'!K13</f>
        <v>391.18014257964444</v>
      </c>
      <c r="I11" s="299">
        <f>SUM(G11:H11)</f>
        <v>5788.8364401205681</v>
      </c>
      <c r="K11" s="11">
        <f>+E11/I11</f>
        <v>9.5307027027174396</v>
      </c>
      <c r="L11" s="333"/>
      <c r="M11" s="203"/>
      <c r="N11" s="200"/>
    </row>
    <row r="12" spans="1:14">
      <c r="A12" t="s">
        <v>18</v>
      </c>
      <c r="C12" s="299">
        <f>+'Monthly Usage - Rogersville'!O15</f>
        <v>40508.149878413504</v>
      </c>
      <c r="D12" s="299">
        <f>+'Monthly Usage - Branson'!O14</f>
        <v>2226.4453853817417</v>
      </c>
      <c r="E12" s="299">
        <f>SUM(C12:D12)</f>
        <v>42734.595263795243</v>
      </c>
      <c r="G12" s="299">
        <f>+'Monthly Usage - Rogersville'!K15</f>
        <v>5410.7556271458934</v>
      </c>
      <c r="H12" s="299">
        <f>+'Monthly Usage - Branson'!K14</f>
        <v>391.72093020590972</v>
      </c>
      <c r="I12" s="299">
        <f>SUM(G12:H12)</f>
        <v>5802.4765573518034</v>
      </c>
      <c r="K12" s="11">
        <f>+E12/I12</f>
        <v>7.3648889127608843</v>
      </c>
      <c r="L12" s="333"/>
      <c r="M12" s="203"/>
      <c r="N12" s="200"/>
    </row>
    <row r="13" spans="1:14">
      <c r="L13" s="200"/>
      <c r="M13" s="200"/>
      <c r="N13" s="200"/>
    </row>
  </sheetData>
  <mergeCells count="2">
    <mergeCell ref="C5:E5"/>
    <mergeCell ref="G5:I5"/>
  </mergeCells>
  <phoneticPr fontId="6" type="noConversion"/>
  <printOptions headings="1"/>
  <pageMargins left="0.7" right="0.7" top="0.75" bottom="0.75" header="0.3" footer="0.3"/>
  <pageSetup orientation="landscape" r:id="rId1"/>
  <headerFooter>
    <oddFooter>&amp;L&amp;F                         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2"/>
  <sheetViews>
    <sheetView topLeftCell="A3" workbookViewId="0">
      <selection activeCell="H123" sqref="H122:H123"/>
    </sheetView>
  </sheetViews>
  <sheetFormatPr defaultColWidth="9.140625" defaultRowHeight="15"/>
  <cols>
    <col min="2" max="2" width="11.7109375" customWidth="1"/>
    <col min="4" max="5" width="9.42578125" customWidth="1"/>
    <col min="6" max="6" width="1.28515625" customWidth="1"/>
    <col min="7" max="7" width="9.7109375" customWidth="1"/>
    <col min="8" max="8" width="11.28515625" customWidth="1"/>
    <col min="9" max="9" width="10.5703125" customWidth="1"/>
    <col min="10" max="10" width="2.28515625" customWidth="1"/>
    <col min="11" max="11" width="9.42578125" bestFit="1" customWidth="1"/>
    <col min="12" max="12" width="1.42578125" customWidth="1"/>
    <col min="13" max="13" width="10.42578125" bestFit="1" customWidth="1"/>
    <col min="16" max="16" width="2.42578125" customWidth="1"/>
    <col min="17" max="17" width="11.5703125" customWidth="1"/>
  </cols>
  <sheetData>
    <row r="1" spans="1:17" ht="15.75">
      <c r="A1" s="3" t="s">
        <v>143</v>
      </c>
      <c r="B1" s="3"/>
      <c r="C1" s="3"/>
      <c r="D1" s="3"/>
      <c r="E1" s="3"/>
      <c r="F1" s="191"/>
      <c r="G1" s="191"/>
      <c r="H1" s="191"/>
      <c r="I1" s="191"/>
      <c r="J1" s="191"/>
      <c r="K1" s="191"/>
      <c r="L1" s="191"/>
      <c r="M1" s="191"/>
    </row>
    <row r="2" spans="1:17" ht="15.75">
      <c r="A2" s="3" t="s">
        <v>32</v>
      </c>
      <c r="B2" s="3"/>
      <c r="C2" s="3"/>
      <c r="D2" s="3"/>
      <c r="E2" s="3"/>
      <c r="F2" s="191"/>
      <c r="G2" s="191"/>
      <c r="H2" s="191"/>
      <c r="I2" s="191"/>
      <c r="J2" s="191"/>
      <c r="K2" s="191"/>
      <c r="L2" s="191"/>
      <c r="M2" s="191"/>
    </row>
    <row r="3" spans="1:17" ht="15.75">
      <c r="A3" s="3" t="s">
        <v>144</v>
      </c>
      <c r="B3" s="3"/>
      <c r="C3" s="3"/>
      <c r="D3" s="3"/>
      <c r="E3" s="3"/>
      <c r="F3" s="191"/>
      <c r="G3" s="191"/>
      <c r="H3" s="191"/>
      <c r="I3" s="191"/>
      <c r="J3" s="191"/>
      <c r="K3" s="191"/>
      <c r="L3" s="191"/>
      <c r="M3" s="191"/>
    </row>
    <row r="4" spans="1:17" ht="15.75">
      <c r="A4" s="3" t="s">
        <v>174</v>
      </c>
      <c r="B4" s="3"/>
      <c r="C4" s="3"/>
      <c r="D4" s="3"/>
      <c r="E4" s="3"/>
      <c r="F4" s="191"/>
      <c r="G4" s="191"/>
      <c r="H4" s="191"/>
      <c r="I4" s="191"/>
      <c r="J4" s="191"/>
      <c r="K4" s="191"/>
      <c r="L4" s="191"/>
      <c r="M4" s="191"/>
    </row>
    <row r="5" spans="1:17" ht="15.75">
      <c r="A5" s="3"/>
      <c r="B5" s="3"/>
      <c r="C5" s="3"/>
      <c r="D5" s="4" t="s">
        <v>30</v>
      </c>
      <c r="E5" s="3"/>
      <c r="F5" s="191"/>
      <c r="G5" s="5" t="s">
        <v>1</v>
      </c>
    </row>
    <row r="6" spans="1:17" ht="15.75" thickBot="1">
      <c r="D6" s="334" t="s">
        <v>2</v>
      </c>
      <c r="E6" s="334"/>
      <c r="G6" s="5" t="s">
        <v>3</v>
      </c>
      <c r="H6" s="5" t="s">
        <v>4</v>
      </c>
      <c r="I6" s="5" t="s">
        <v>0</v>
      </c>
      <c r="O6" t="s">
        <v>4</v>
      </c>
      <c r="Q6" s="120" t="s">
        <v>33</v>
      </c>
    </row>
    <row r="7" spans="1:17">
      <c r="D7" s="5" t="s">
        <v>5</v>
      </c>
      <c r="E7" s="5" t="s">
        <v>6</v>
      </c>
      <c r="G7" s="5" t="s">
        <v>7</v>
      </c>
      <c r="H7" s="5" t="s">
        <v>8</v>
      </c>
      <c r="I7" s="5" t="s">
        <v>4</v>
      </c>
      <c r="K7" s="5" t="s">
        <v>9</v>
      </c>
      <c r="M7" s="127" t="s">
        <v>4</v>
      </c>
      <c r="N7" s="5" t="s">
        <v>4</v>
      </c>
      <c r="O7" s="5" t="s">
        <v>13</v>
      </c>
      <c r="Q7" s="120" t="s">
        <v>145</v>
      </c>
    </row>
    <row r="8" spans="1:17" ht="15.75" thickBot="1">
      <c r="D8" s="6" t="s">
        <v>10</v>
      </c>
      <c r="E8" s="6" t="s">
        <v>11</v>
      </c>
      <c r="G8" s="192" t="s">
        <v>9</v>
      </c>
      <c r="H8" s="192" t="s">
        <v>12</v>
      </c>
      <c r="I8" s="192" t="s">
        <v>12</v>
      </c>
      <c r="K8" s="128" t="s">
        <v>147</v>
      </c>
      <c r="M8" s="6" t="s">
        <v>13</v>
      </c>
      <c r="N8" s="6" t="s">
        <v>172</v>
      </c>
      <c r="O8" s="6" t="s">
        <v>161</v>
      </c>
      <c r="Q8" s="129" t="s">
        <v>173</v>
      </c>
    </row>
    <row r="9" spans="1:17" ht="15.75">
      <c r="A9" s="7" t="s">
        <v>14</v>
      </c>
    </row>
    <row r="11" spans="1:17" ht="15.75">
      <c r="B11" s="8" t="s">
        <v>15</v>
      </c>
      <c r="C11">
        <v>2014</v>
      </c>
      <c r="D11" s="193">
        <f>'[1]Springfield 30-yr HDD'!N26</f>
        <v>931.3900000000001</v>
      </c>
      <c r="E11" s="194">
        <f t="shared" ref="E11:E21" si="0">+D11/$D$23</f>
        <v>0.20346688220901782</v>
      </c>
      <c r="G11" s="195">
        <f t="shared" ref="G11:G21" si="1">+E11*$G$23</f>
        <v>8.0467374884203</v>
      </c>
      <c r="H11" s="196">
        <f>'[1]annual customer usage - Branson'!K27</f>
        <v>0.77652205614290915</v>
      </c>
      <c r="I11" s="11">
        <f t="shared" ref="I11:I21" si="2">+G11+H11</f>
        <v>8.8232595445632089</v>
      </c>
      <c r="K11" s="219">
        <v>384.78609848452487</v>
      </c>
      <c r="M11" s="130">
        <f t="shared" ref="M11:M21" si="3">+K11*I11</f>
        <v>3395.0676160688231</v>
      </c>
      <c r="N11" s="197">
        <v>1.0245111879720477</v>
      </c>
      <c r="O11" s="140">
        <f>+M11/N11</f>
        <v>3313.8414259673782</v>
      </c>
      <c r="Q11" s="173">
        <f>SUM(O11,O34,O59,O82,O103,O125)</f>
        <v>29801.638394697638</v>
      </c>
    </row>
    <row r="12" spans="1:17" ht="15.75">
      <c r="B12" s="8" t="s">
        <v>16</v>
      </c>
      <c r="C12">
        <v>2015</v>
      </c>
      <c r="D12" s="193">
        <f>'[1]Springfield 30-yr HDD'!C26</f>
        <v>1002.7500000000002</v>
      </c>
      <c r="E12" s="194">
        <f t="shared" si="0"/>
        <v>0.21905583711988819</v>
      </c>
      <c r="G12" s="195">
        <f t="shared" si="1"/>
        <v>8.6632517168033338</v>
      </c>
      <c r="H12" s="196">
        <f t="shared" ref="H12:H22" si="4">+H11</f>
        <v>0.77652205614290915</v>
      </c>
      <c r="I12" s="11">
        <f t="shared" si="2"/>
        <v>9.4397737729462428</v>
      </c>
      <c r="K12" s="219">
        <v>388.71368053516892</v>
      </c>
      <c r="M12" s="130">
        <f t="shared" si="3"/>
        <v>3669.3692067012921</v>
      </c>
      <c r="N12" s="197">
        <v>1.025266897776858</v>
      </c>
      <c r="O12" s="140">
        <f t="shared" ref="O12:O22" si="5">+M12/N12</f>
        <v>3578.9404833588064</v>
      </c>
      <c r="Q12" s="173">
        <f t="shared" ref="Q12:Q22" si="6">SUM(O12,O35,O60,O83,O104,O126)</f>
        <v>31297.006722467908</v>
      </c>
    </row>
    <row r="13" spans="1:17" ht="15.75">
      <c r="B13" s="8" t="s">
        <v>17</v>
      </c>
      <c r="C13">
        <v>2015</v>
      </c>
      <c r="D13" s="193">
        <f>'[1]Springfield 30-yr HDD'!D26</f>
        <v>780</v>
      </c>
      <c r="E13" s="194">
        <f t="shared" si="0"/>
        <v>0.17039496679482696</v>
      </c>
      <c r="G13" s="195">
        <f t="shared" si="1"/>
        <v>6.7388046263840415</v>
      </c>
      <c r="H13" s="196">
        <f t="shared" si="4"/>
        <v>0.77652205614290915</v>
      </c>
      <c r="I13" s="11">
        <f t="shared" si="2"/>
        <v>7.5153266825269505</v>
      </c>
      <c r="K13" s="219">
        <v>391.18014257964444</v>
      </c>
      <c r="M13" s="130">
        <f t="shared" si="3"/>
        <v>2939.8465632034986</v>
      </c>
      <c r="N13" s="197">
        <v>1.0230039779804718</v>
      </c>
      <c r="O13" s="140">
        <f t="shared" si="5"/>
        <v>2873.7391315008331</v>
      </c>
      <c r="Q13" s="173">
        <f t="shared" si="6"/>
        <v>27598.958860746774</v>
      </c>
    </row>
    <row r="14" spans="1:17" ht="15.75">
      <c r="B14" s="8" t="s">
        <v>18</v>
      </c>
      <c r="C14">
        <v>2015</v>
      </c>
      <c r="D14" s="220">
        <f>'[1]Springfield 30-yr HDD'!E26</f>
        <v>581.33000000000004</v>
      </c>
      <c r="E14" s="194">
        <f t="shared" si="0"/>
        <v>0.12699449493184201</v>
      </c>
      <c r="G14" s="195">
        <f t="shared" si="1"/>
        <v>5.0223965300715836</v>
      </c>
      <c r="H14" s="196">
        <f t="shared" si="4"/>
        <v>0.77652205614290915</v>
      </c>
      <c r="I14" s="11">
        <f t="shared" si="2"/>
        <v>5.7989185862144925</v>
      </c>
      <c r="K14" s="219">
        <v>391.72093020590972</v>
      </c>
      <c r="M14" s="130">
        <f t="shared" si="3"/>
        <v>2271.5577827802799</v>
      </c>
      <c r="N14" s="197">
        <v>1.0202620723125455</v>
      </c>
      <c r="O14" s="140">
        <f t="shared" si="5"/>
        <v>2226.4453853817417</v>
      </c>
      <c r="Q14" s="173">
        <f t="shared" si="6"/>
        <v>24137.691643583814</v>
      </c>
    </row>
    <row r="15" spans="1:17" ht="15.75">
      <c r="B15" s="8" t="s">
        <v>19</v>
      </c>
      <c r="C15">
        <v>2015</v>
      </c>
      <c r="D15" s="220">
        <f>'[1]Springfield 30-yr HDD'!F26</f>
        <v>299.73</v>
      </c>
      <c r="E15" s="194">
        <f t="shared" si="0"/>
        <v>6.5477542817196782E-2</v>
      </c>
      <c r="G15" s="195">
        <f t="shared" si="1"/>
        <v>2.5895152700847297</v>
      </c>
      <c r="H15" s="196">
        <f t="shared" si="4"/>
        <v>0.77652205614290915</v>
      </c>
      <c r="I15" s="11">
        <f t="shared" si="2"/>
        <v>3.3660373262276391</v>
      </c>
      <c r="K15" s="219">
        <v>392.07391200059288</v>
      </c>
      <c r="M15" s="130">
        <f t="shared" si="3"/>
        <v>1319.7354224340863</v>
      </c>
      <c r="N15" s="197">
        <v>1.0201869777446844</v>
      </c>
      <c r="O15" s="140">
        <f t="shared" si="5"/>
        <v>1293.6211216414565</v>
      </c>
      <c r="Q15" s="173">
        <f t="shared" si="6"/>
        <v>19132.359355824759</v>
      </c>
    </row>
    <row r="16" spans="1:17" ht="15.75">
      <c r="B16" s="8" t="s">
        <v>20</v>
      </c>
      <c r="C16">
        <v>2015</v>
      </c>
      <c r="D16" s="220">
        <f>'[1]Springfield 30-yr HDD'!G26</f>
        <v>94.539999999999978</v>
      </c>
      <c r="E16" s="194">
        <f t="shared" si="0"/>
        <v>2.0652743795875561E-2</v>
      </c>
      <c r="G16" s="195">
        <f t="shared" si="1"/>
        <v>0.81677767869018869</v>
      </c>
      <c r="H16" s="196">
        <f t="shared" si="4"/>
        <v>0.77652205614290915</v>
      </c>
      <c r="I16" s="11">
        <f t="shared" si="2"/>
        <v>1.5932997348330979</v>
      </c>
      <c r="K16" s="219">
        <v>394.25215871953765</v>
      </c>
      <c r="M16" s="130">
        <f t="shared" si="3"/>
        <v>628.16185994521572</v>
      </c>
      <c r="N16" s="197">
        <v>1.0224523612261807</v>
      </c>
      <c r="O16" s="140">
        <f t="shared" si="5"/>
        <v>614.36785102817873</v>
      </c>
      <c r="Q16" s="173">
        <f t="shared" si="6"/>
        <v>15521.34140178354</v>
      </c>
    </row>
    <row r="17" spans="1:17" ht="15.75">
      <c r="B17" s="8" t="s">
        <v>21</v>
      </c>
      <c r="C17">
        <v>2015</v>
      </c>
      <c r="D17" s="220">
        <f>'[1]Springfield 30-yr HDD'!H26</f>
        <v>9.1899999999999977</v>
      </c>
      <c r="E17" s="194">
        <f t="shared" si="0"/>
        <v>2.0076022369800764E-3</v>
      </c>
      <c r="G17" s="195">
        <f t="shared" si="1"/>
        <v>7.9396941687781206E-2</v>
      </c>
      <c r="H17" s="196">
        <f t="shared" si="4"/>
        <v>0.77652205614290915</v>
      </c>
      <c r="I17" s="11">
        <f t="shared" si="2"/>
        <v>0.85591899783069036</v>
      </c>
      <c r="K17" s="219">
        <v>391.55693093973139</v>
      </c>
      <c r="M17" s="130">
        <f t="shared" si="3"/>
        <v>335.14101592359572</v>
      </c>
      <c r="N17" s="197">
        <v>1.0215636706971645</v>
      </c>
      <c r="O17" s="140">
        <f t="shared" si="5"/>
        <v>328.06669377238057</v>
      </c>
      <c r="Q17" s="173">
        <f t="shared" si="6"/>
        <v>14041.588090531459</v>
      </c>
    </row>
    <row r="18" spans="1:17" ht="15.75">
      <c r="B18" s="8" t="s">
        <v>22</v>
      </c>
      <c r="C18">
        <v>2015</v>
      </c>
      <c r="D18" s="220">
        <f>'[1]Springfield 30-yr HDD'!I26</f>
        <v>0.46000000000000019</v>
      </c>
      <c r="E18" s="194">
        <f t="shared" si="0"/>
        <v>1.0048933939182108E-4</v>
      </c>
      <c r="G18" s="195">
        <f t="shared" si="1"/>
        <v>3.9741668309444369E-3</v>
      </c>
      <c r="H18" s="196">
        <f t="shared" si="4"/>
        <v>0.77652205614290915</v>
      </c>
      <c r="I18" s="11">
        <f t="shared" si="2"/>
        <v>0.78049622297385357</v>
      </c>
      <c r="K18" s="219">
        <v>384.84419416070813</v>
      </c>
      <c r="M18" s="130">
        <f t="shared" si="3"/>
        <v>300.36943997584905</v>
      </c>
      <c r="N18" s="197">
        <v>1.0160426197929209</v>
      </c>
      <c r="O18" s="140">
        <f t="shared" si="5"/>
        <v>295.62681143933429</v>
      </c>
      <c r="Q18" s="173">
        <f t="shared" si="6"/>
        <v>13992.593001961704</v>
      </c>
    </row>
    <row r="19" spans="1:17" ht="15.75">
      <c r="B19" s="8" t="s">
        <v>23</v>
      </c>
      <c r="C19">
        <v>2015</v>
      </c>
      <c r="D19" s="220">
        <f>'[1]Springfield 30-yr HDD'!J26</f>
        <v>1.6199999999999999</v>
      </c>
      <c r="E19" s="194">
        <f t="shared" si="0"/>
        <v>3.5389723872771754E-4</v>
      </c>
      <c r="G19" s="195">
        <f t="shared" si="1"/>
        <v>1.3995978839413011E-2</v>
      </c>
      <c r="H19" s="196">
        <f t="shared" si="4"/>
        <v>0.77652205614290915</v>
      </c>
      <c r="I19" s="11">
        <f t="shared" si="2"/>
        <v>0.7905180349823222</v>
      </c>
      <c r="K19" s="219">
        <v>383.92226853026432</v>
      </c>
      <c r="M19" s="130">
        <f t="shared" si="3"/>
        <v>303.49747730449997</v>
      </c>
      <c r="N19" s="197">
        <v>1.0158211697458406</v>
      </c>
      <c r="O19" s="140">
        <f t="shared" si="5"/>
        <v>298.77057728619235</v>
      </c>
      <c r="Q19" s="173">
        <f t="shared" si="6"/>
        <v>14065.377755857589</v>
      </c>
    </row>
    <row r="20" spans="1:17" ht="15.75">
      <c r="B20" s="8" t="s">
        <v>24</v>
      </c>
      <c r="C20">
        <v>2015</v>
      </c>
      <c r="D20" s="220">
        <f>'[1]Springfield 30-yr HDD'!K26</f>
        <v>53.36</v>
      </c>
      <c r="E20" s="199">
        <f t="shared" si="0"/>
        <v>1.1656763369451239E-2</v>
      </c>
      <c r="F20" s="200"/>
      <c r="G20" s="201">
        <f t="shared" si="1"/>
        <v>0.46100335238955448</v>
      </c>
      <c r="H20" s="196">
        <f t="shared" si="4"/>
        <v>0.77652205614290915</v>
      </c>
      <c r="I20" s="203">
        <f t="shared" si="2"/>
        <v>1.2375254085324636</v>
      </c>
      <c r="J20" s="200"/>
      <c r="K20" s="221">
        <v>378</v>
      </c>
      <c r="L20" s="200"/>
      <c r="M20" s="131">
        <f t="shared" si="3"/>
        <v>467.78460442527125</v>
      </c>
      <c r="N20" s="197">
        <v>1.0147430071695447</v>
      </c>
      <c r="O20" s="140">
        <f t="shared" si="5"/>
        <v>460.98825133082505</v>
      </c>
      <c r="Q20" s="173">
        <f t="shared" si="6"/>
        <v>14570.486818687987</v>
      </c>
    </row>
    <row r="21" spans="1:17" ht="15.75">
      <c r="B21" s="8" t="s">
        <v>25</v>
      </c>
      <c r="C21">
        <v>2015</v>
      </c>
      <c r="D21" s="220">
        <f>'[1]Springfield 30-yr HDD'!L26</f>
        <v>252.62999999999997</v>
      </c>
      <c r="E21" s="199">
        <f t="shared" si="0"/>
        <v>5.5188308283816837E-2</v>
      </c>
      <c r="F21" s="200"/>
      <c r="G21" s="201">
        <f t="shared" si="1"/>
        <v>2.1825951445684622</v>
      </c>
      <c r="H21" s="196">
        <f t="shared" si="4"/>
        <v>0.77652205614290915</v>
      </c>
      <c r="I21" s="203">
        <f t="shared" si="2"/>
        <v>2.9591172007113711</v>
      </c>
      <c r="J21" s="200"/>
      <c r="K21" s="221">
        <v>373.40437792906914</v>
      </c>
      <c r="L21" s="200"/>
      <c r="M21" s="131">
        <f t="shared" si="3"/>
        <v>1104.9473175508379</v>
      </c>
      <c r="N21" s="197">
        <v>1.022179765904649</v>
      </c>
      <c r="O21" s="140">
        <f t="shared" si="5"/>
        <v>1080.9716200681569</v>
      </c>
      <c r="Q21" s="173">
        <f t="shared" si="6"/>
        <v>17874.300590430721</v>
      </c>
    </row>
    <row r="22" spans="1:17" ht="16.5" thickBot="1">
      <c r="B22" s="8" t="s">
        <v>26</v>
      </c>
      <c r="C22">
        <v>2015</v>
      </c>
      <c r="D22" s="220">
        <f>'[1]Springfield 30-yr HDD'!M26</f>
        <v>570.6</v>
      </c>
      <c r="E22" s="194">
        <f>+D22/$D$23</f>
        <v>0.12465047186298496</v>
      </c>
      <c r="G22" s="195">
        <f>+E22*$G$23</f>
        <v>4.9296947689932491</v>
      </c>
      <c r="H22" s="196">
        <f t="shared" si="4"/>
        <v>0.77652205614290915</v>
      </c>
      <c r="I22" s="11">
        <f>+G22+H22</f>
        <v>5.706216825136158</v>
      </c>
      <c r="K22" s="219">
        <v>377.79219568127098</v>
      </c>
      <c r="M22" s="130">
        <f>+K22*I22</f>
        <v>2155.7641834016003</v>
      </c>
      <c r="N22" s="197">
        <v>1.0190466321243523</v>
      </c>
      <c r="O22" s="205">
        <f t="shared" si="5"/>
        <v>2115.4715745515919</v>
      </c>
      <c r="Q22" s="173">
        <f t="shared" si="6"/>
        <v>23510.63814246183</v>
      </c>
    </row>
    <row r="23" spans="1:17" ht="15.75" thickBot="1">
      <c r="D23" s="222">
        <f>SUM(D11:D22)</f>
        <v>4577.6000000000004</v>
      </c>
      <c r="E23" s="132">
        <f>SUM(E11:E22)</f>
        <v>0.99999999999999978</v>
      </c>
      <c r="G23" s="206">
        <f>'[1]annual customer usage - Branson'!I11</f>
        <v>39.548143663763582</v>
      </c>
      <c r="H23" s="207">
        <f>SUM(H11:H22)</f>
        <v>9.3182646737149089</v>
      </c>
      <c r="I23" s="207">
        <f>SUM(I11:I22)</f>
        <v>48.866408337478489</v>
      </c>
      <c r="K23" s="139">
        <f>AVERAGE(K11:K22)</f>
        <v>386.02057414720184</v>
      </c>
      <c r="M23" s="209">
        <f>SUM(M11:M22)</f>
        <v>18891.242489714852</v>
      </c>
      <c r="O23" s="209">
        <f>SUM(O11:O22)</f>
        <v>18480.850927326876</v>
      </c>
      <c r="Q23" s="208">
        <f>SUM(Q11:Q22)</f>
        <v>245543.98077903577</v>
      </c>
    </row>
    <row r="24" spans="1:17" ht="15.75" thickTop="1">
      <c r="D24" s="171"/>
      <c r="E24" s="171"/>
      <c r="G24" s="195">
        <f>SUM(G11:G22)</f>
        <v>39.548143663763589</v>
      </c>
      <c r="K24" s="210" t="s">
        <v>27</v>
      </c>
    </row>
    <row r="25" spans="1:17">
      <c r="D25" s="171"/>
      <c r="E25" s="171"/>
      <c r="G25" s="195"/>
      <c r="K25" s="210"/>
    </row>
    <row r="26" spans="1:17">
      <c r="D26" s="171"/>
      <c r="E26" s="171"/>
      <c r="G26" s="195"/>
      <c r="K26" s="210"/>
    </row>
    <row r="27" spans="1:17">
      <c r="D27" s="171"/>
      <c r="E27" s="171"/>
      <c r="G27" s="195"/>
      <c r="K27" s="210"/>
    </row>
    <row r="28" spans="1:17" ht="15.75">
      <c r="A28" s="3"/>
      <c r="B28" s="3"/>
      <c r="C28" s="3"/>
      <c r="D28" s="4" t="s">
        <v>30</v>
      </c>
      <c r="E28" s="3"/>
      <c r="F28" s="191"/>
      <c r="G28" s="5" t="s">
        <v>1</v>
      </c>
      <c r="K28" s="171"/>
    </row>
    <row r="29" spans="1:17" ht="15.75" thickBot="1">
      <c r="D29" s="334" t="s">
        <v>2</v>
      </c>
      <c r="E29" s="334"/>
      <c r="G29" s="5" t="s">
        <v>3</v>
      </c>
      <c r="H29" s="5" t="s">
        <v>4</v>
      </c>
      <c r="I29" s="5" t="s">
        <v>0</v>
      </c>
      <c r="K29" s="171"/>
      <c r="O29" t="s">
        <v>4</v>
      </c>
    </row>
    <row r="30" spans="1:17">
      <c r="D30" s="5" t="s">
        <v>5</v>
      </c>
      <c r="E30" s="5" t="s">
        <v>6</v>
      </c>
      <c r="G30" s="5" t="s">
        <v>7</v>
      </c>
      <c r="H30" s="5" t="s">
        <v>8</v>
      </c>
      <c r="I30" s="5" t="s">
        <v>4</v>
      </c>
      <c r="K30" s="210" t="s">
        <v>9</v>
      </c>
      <c r="M30" s="127" t="s">
        <v>4</v>
      </c>
      <c r="N30" s="5" t="s">
        <v>4</v>
      </c>
      <c r="O30" s="5" t="s">
        <v>13</v>
      </c>
    </row>
    <row r="31" spans="1:17" ht="15.75" thickBot="1">
      <c r="D31" s="6" t="s">
        <v>10</v>
      </c>
      <c r="E31" s="6" t="s">
        <v>11</v>
      </c>
      <c r="G31" s="192" t="s">
        <v>9</v>
      </c>
      <c r="H31" s="192" t="s">
        <v>12</v>
      </c>
      <c r="I31" s="192" t="s">
        <v>12</v>
      </c>
      <c r="K31" s="128" t="s">
        <v>147</v>
      </c>
      <c r="M31" s="6" t="s">
        <v>13</v>
      </c>
      <c r="N31" s="6" t="s">
        <v>172</v>
      </c>
      <c r="O31" s="6" t="s">
        <v>161</v>
      </c>
    </row>
    <row r="32" spans="1:17" ht="15.75">
      <c r="A32" s="7" t="s">
        <v>146</v>
      </c>
      <c r="K32" s="171"/>
    </row>
    <row r="33" spans="2:15">
      <c r="K33" s="171"/>
    </row>
    <row r="34" spans="2:15" ht="15.75">
      <c r="B34" s="8" t="str">
        <f t="shared" ref="B34:D45" si="7">B11</f>
        <v>December</v>
      </c>
      <c r="C34">
        <f t="shared" si="7"/>
        <v>2014</v>
      </c>
      <c r="D34" s="193">
        <f t="shared" si="7"/>
        <v>931.3900000000001</v>
      </c>
      <c r="E34" s="194">
        <f t="shared" ref="E34:E44" si="8">+D34/$D$23</f>
        <v>0.20346688220901782</v>
      </c>
      <c r="G34" s="195">
        <f t="shared" ref="G34:G44" si="9">+E34*$G$46</f>
        <v>6.1489147646562161</v>
      </c>
      <c r="H34" s="196">
        <f>'[1]annual customer usage - Branson'!K28</f>
        <v>0.39060288706481744</v>
      </c>
      <c r="I34" s="11">
        <f t="shared" ref="I34:I44" si="10">+G34+H34</f>
        <v>6.5395176517210336</v>
      </c>
      <c r="K34" s="219">
        <v>127.08799907775382</v>
      </c>
      <c r="M34" s="130">
        <f t="shared" ref="M34:M44" si="11">+K34*I34</f>
        <v>831.09421329087752</v>
      </c>
      <c r="N34" s="197">
        <v>1.0245111879720477</v>
      </c>
      <c r="O34" s="140">
        <f>+M34/N34</f>
        <v>811.21048071322059</v>
      </c>
    </row>
    <row r="35" spans="2:15" ht="15.75">
      <c r="B35" s="8" t="str">
        <f t="shared" si="7"/>
        <v>January</v>
      </c>
      <c r="C35">
        <f t="shared" si="7"/>
        <v>2015</v>
      </c>
      <c r="D35" s="193">
        <f t="shared" si="7"/>
        <v>1002.7500000000002</v>
      </c>
      <c r="E35" s="194">
        <f t="shared" si="8"/>
        <v>0.21905583711988819</v>
      </c>
      <c r="G35" s="195">
        <f t="shared" si="9"/>
        <v>6.6200241362469239</v>
      </c>
      <c r="H35" s="196">
        <f t="shared" ref="H35:H45" si="12">+H34</f>
        <v>0.39060288706481744</v>
      </c>
      <c r="I35" s="11">
        <f t="shared" si="10"/>
        <v>7.0106270233117414</v>
      </c>
      <c r="K35" s="219">
        <v>128.16325455427781</v>
      </c>
      <c r="M35" s="130">
        <f t="shared" si="11"/>
        <v>898.50477577380161</v>
      </c>
      <c r="N35" s="197">
        <v>1.025266897776858</v>
      </c>
      <c r="O35" s="140">
        <f t="shared" ref="O35:O45" si="13">+M35/N35</f>
        <v>876.36183097501578</v>
      </c>
    </row>
    <row r="36" spans="2:15" ht="15.75">
      <c r="B36" s="8" t="str">
        <f t="shared" si="7"/>
        <v>February</v>
      </c>
      <c r="C36">
        <f t="shared" si="7"/>
        <v>2015</v>
      </c>
      <c r="D36" s="193">
        <f t="shared" si="7"/>
        <v>780</v>
      </c>
      <c r="E36" s="194">
        <f t="shared" si="8"/>
        <v>0.17039496679482696</v>
      </c>
      <c r="G36" s="195">
        <f t="shared" si="9"/>
        <v>5.1494578172750929</v>
      </c>
      <c r="H36" s="196">
        <f t="shared" si="12"/>
        <v>0.39060288706481744</v>
      </c>
      <c r="I36" s="11">
        <f t="shared" si="10"/>
        <v>5.5400607043399104</v>
      </c>
      <c r="K36" s="219">
        <v>131.79981523529295</v>
      </c>
      <c r="M36" s="130">
        <f t="shared" si="11"/>
        <v>730.17897722430712</v>
      </c>
      <c r="N36" s="197">
        <v>1.0230039779804718</v>
      </c>
      <c r="O36" s="140">
        <f t="shared" si="13"/>
        <v>713.75966559364201</v>
      </c>
    </row>
    <row r="37" spans="2:15" ht="15.75">
      <c r="B37" s="8" t="str">
        <f t="shared" si="7"/>
        <v>March</v>
      </c>
      <c r="C37">
        <f t="shared" si="7"/>
        <v>2015</v>
      </c>
      <c r="D37" s="193">
        <f t="shared" si="7"/>
        <v>581.33000000000004</v>
      </c>
      <c r="E37" s="194">
        <f t="shared" si="8"/>
        <v>0.12699449493184201</v>
      </c>
      <c r="G37" s="195">
        <f t="shared" si="9"/>
        <v>3.8378645037391408</v>
      </c>
      <c r="H37" s="196">
        <f t="shared" si="12"/>
        <v>0.39060288706481744</v>
      </c>
      <c r="I37" s="11">
        <f t="shared" si="10"/>
        <v>4.2284673908039583</v>
      </c>
      <c r="K37" s="219">
        <v>132.21989315201404</v>
      </c>
      <c r="M37" s="130">
        <f t="shared" si="11"/>
        <v>559.08750660887495</v>
      </c>
      <c r="N37" s="197">
        <v>1.0202620723125455</v>
      </c>
      <c r="O37" s="140">
        <f t="shared" si="13"/>
        <v>547.98421090145644</v>
      </c>
    </row>
    <row r="38" spans="2:15" ht="15.75">
      <c r="B38" s="8" t="str">
        <f t="shared" si="7"/>
        <v>April</v>
      </c>
      <c r="C38">
        <f t="shared" si="7"/>
        <v>2015</v>
      </c>
      <c r="D38" s="193">
        <f t="shared" si="7"/>
        <v>299.73</v>
      </c>
      <c r="E38" s="194">
        <f t="shared" si="8"/>
        <v>6.5477542817196782E-2</v>
      </c>
      <c r="G38" s="195">
        <f t="shared" si="9"/>
        <v>1.9787781943229021</v>
      </c>
      <c r="H38" s="196">
        <f t="shared" si="12"/>
        <v>0.39060288706481744</v>
      </c>
      <c r="I38" s="11">
        <f t="shared" si="10"/>
        <v>2.3693810813877194</v>
      </c>
      <c r="K38" s="219">
        <v>136.8707303311669</v>
      </c>
      <c r="M38" s="130">
        <f t="shared" si="11"/>
        <v>324.29891904238713</v>
      </c>
      <c r="N38" s="197">
        <v>1.0201869777446844</v>
      </c>
      <c r="O38" s="140">
        <f t="shared" si="13"/>
        <v>317.88184530576052</v>
      </c>
    </row>
    <row r="39" spans="2:15" ht="15.75">
      <c r="B39" s="8" t="str">
        <f t="shared" si="7"/>
        <v>May</v>
      </c>
      <c r="C39">
        <f t="shared" si="7"/>
        <v>2015</v>
      </c>
      <c r="D39" s="193">
        <f t="shared" si="7"/>
        <v>94.539999999999978</v>
      </c>
      <c r="E39" s="194">
        <f t="shared" si="8"/>
        <v>2.0652743795875561E-2</v>
      </c>
      <c r="G39" s="195">
        <f t="shared" si="9"/>
        <v>0.62414069492972712</v>
      </c>
      <c r="H39" s="196">
        <f t="shared" si="12"/>
        <v>0.39060288706481744</v>
      </c>
      <c r="I39" s="11">
        <f t="shared" si="10"/>
        <v>1.0147435819945445</v>
      </c>
      <c r="K39" s="219">
        <v>136.8580788614272</v>
      </c>
      <c r="M39" s="130">
        <f t="shared" si="11"/>
        <v>138.8758571687365</v>
      </c>
      <c r="N39" s="197">
        <v>1.0224523612261807</v>
      </c>
      <c r="O39" s="140">
        <f t="shared" si="13"/>
        <v>135.82623742214159</v>
      </c>
    </row>
    <row r="40" spans="2:15" ht="15.75">
      <c r="B40" s="8" t="str">
        <f t="shared" si="7"/>
        <v>June</v>
      </c>
      <c r="C40">
        <f t="shared" si="7"/>
        <v>2015</v>
      </c>
      <c r="D40" s="193">
        <f t="shared" si="7"/>
        <v>9.1899999999999977</v>
      </c>
      <c r="E40" s="194">
        <f t="shared" si="8"/>
        <v>2.0076022369800764E-3</v>
      </c>
      <c r="G40" s="195">
        <f t="shared" si="9"/>
        <v>6.0671176077894996E-2</v>
      </c>
      <c r="H40" s="196">
        <f t="shared" si="12"/>
        <v>0.39060288706481744</v>
      </c>
      <c r="I40" s="11">
        <f t="shared" si="10"/>
        <v>0.45127406314271246</v>
      </c>
      <c r="K40" s="219">
        <v>133.99167635105286</v>
      </c>
      <c r="M40" s="130">
        <f t="shared" si="11"/>
        <v>60.466968214242918</v>
      </c>
      <c r="N40" s="197">
        <v>1.0215636706971645</v>
      </c>
      <c r="O40" s="140">
        <f t="shared" si="13"/>
        <v>59.190601573543951</v>
      </c>
    </row>
    <row r="41" spans="2:15" ht="15.75">
      <c r="B41" s="8" t="str">
        <f t="shared" si="7"/>
        <v>July</v>
      </c>
      <c r="C41">
        <f t="shared" si="7"/>
        <v>2015</v>
      </c>
      <c r="D41" s="193">
        <f t="shared" si="7"/>
        <v>0.46000000000000019</v>
      </c>
      <c r="E41" s="194">
        <f t="shared" si="8"/>
        <v>1.0048933939182108E-4</v>
      </c>
      <c r="G41" s="195">
        <f t="shared" si="9"/>
        <v>3.036859738393005E-3</v>
      </c>
      <c r="H41" s="196">
        <f t="shared" si="12"/>
        <v>0.39060288706481744</v>
      </c>
      <c r="I41" s="11">
        <f t="shared" si="10"/>
        <v>0.39363974680321046</v>
      </c>
      <c r="K41" s="219">
        <v>128.88437604586457</v>
      </c>
      <c r="M41" s="130">
        <f t="shared" si="11"/>
        <v>50.734013153583895</v>
      </c>
      <c r="N41" s="197">
        <v>1.0160426197929209</v>
      </c>
      <c r="O41" s="140">
        <f t="shared" si="13"/>
        <v>49.932957698097319</v>
      </c>
    </row>
    <row r="42" spans="2:15" ht="15.75">
      <c r="B42" s="8" t="str">
        <f t="shared" si="7"/>
        <v>August</v>
      </c>
      <c r="C42">
        <f t="shared" si="7"/>
        <v>2015</v>
      </c>
      <c r="D42" s="193">
        <f t="shared" si="7"/>
        <v>1.6199999999999999</v>
      </c>
      <c r="E42" s="194">
        <f t="shared" si="8"/>
        <v>3.5389723872771754E-4</v>
      </c>
      <c r="G42" s="195">
        <f t="shared" si="9"/>
        <v>1.0695027774340577E-2</v>
      </c>
      <c r="H42" s="196">
        <f t="shared" si="12"/>
        <v>0.39060288706481744</v>
      </c>
      <c r="I42" s="11">
        <f t="shared" si="10"/>
        <v>0.401297914839158</v>
      </c>
      <c r="K42" s="219">
        <v>130.7096881673728</v>
      </c>
      <c r="M42" s="130">
        <f t="shared" si="11"/>
        <v>52.453525310843268</v>
      </c>
      <c r="N42" s="197">
        <v>1.0158211697458406</v>
      </c>
      <c r="O42" s="140">
        <f t="shared" si="13"/>
        <v>51.636574303690864</v>
      </c>
    </row>
    <row r="43" spans="2:15" ht="15.75">
      <c r="B43" s="8" t="str">
        <f t="shared" si="7"/>
        <v>September</v>
      </c>
      <c r="C43">
        <f t="shared" si="7"/>
        <v>2015</v>
      </c>
      <c r="D43" s="193">
        <f t="shared" si="7"/>
        <v>53.36</v>
      </c>
      <c r="E43" s="194">
        <f t="shared" si="8"/>
        <v>1.1656763369451239E-2</v>
      </c>
      <c r="G43" s="195">
        <f t="shared" si="9"/>
        <v>0.35227572965358839</v>
      </c>
      <c r="H43" s="196">
        <f t="shared" si="12"/>
        <v>0.39060288706481744</v>
      </c>
      <c r="I43" s="11">
        <f t="shared" si="10"/>
        <v>0.74287861671840583</v>
      </c>
      <c r="K43" s="219">
        <v>116</v>
      </c>
      <c r="M43" s="130">
        <f t="shared" si="11"/>
        <v>86.173919539335074</v>
      </c>
      <c r="N43" s="197">
        <v>1.0147430071695447</v>
      </c>
      <c r="O43" s="140">
        <f t="shared" si="13"/>
        <v>84.921915135638883</v>
      </c>
    </row>
    <row r="44" spans="2:15" ht="15.75">
      <c r="B44" s="8" t="str">
        <f t="shared" si="7"/>
        <v>October</v>
      </c>
      <c r="C44">
        <f t="shared" si="7"/>
        <v>2015</v>
      </c>
      <c r="D44" s="193">
        <f t="shared" si="7"/>
        <v>252.62999999999997</v>
      </c>
      <c r="E44" s="199">
        <f t="shared" si="8"/>
        <v>5.5188308283816837E-2</v>
      </c>
      <c r="F44" s="200"/>
      <c r="G44" s="201">
        <f t="shared" si="9"/>
        <v>1.6678301645874443</v>
      </c>
      <c r="H44" s="196">
        <f t="shared" si="12"/>
        <v>0.39060288706481744</v>
      </c>
      <c r="I44" s="203">
        <f t="shared" si="10"/>
        <v>2.0584330516522615</v>
      </c>
      <c r="J44" s="200"/>
      <c r="K44" s="221">
        <v>118.28096623365316</v>
      </c>
      <c r="M44" s="130">
        <f t="shared" si="11"/>
        <v>243.47345027671679</v>
      </c>
      <c r="N44" s="197">
        <v>1.022179765904649</v>
      </c>
      <c r="O44" s="140">
        <f t="shared" si="13"/>
        <v>238.1904420317282</v>
      </c>
    </row>
    <row r="45" spans="2:15" ht="16.5" thickBot="1">
      <c r="B45" s="8" t="str">
        <f t="shared" si="7"/>
        <v>November</v>
      </c>
      <c r="C45">
        <f t="shared" si="7"/>
        <v>2015</v>
      </c>
      <c r="D45" s="193">
        <f t="shared" si="7"/>
        <v>570.6</v>
      </c>
      <c r="E45" s="194">
        <f>+D45/$D$23</f>
        <v>0.12465047186298496</v>
      </c>
      <c r="G45" s="195">
        <f>+E45*$G$46</f>
        <v>3.7670264494066257</v>
      </c>
      <c r="H45" s="196">
        <f t="shared" si="12"/>
        <v>0.39060288706481744</v>
      </c>
      <c r="I45" s="11">
        <f>+G45+H45</f>
        <v>4.1576293364714427</v>
      </c>
      <c r="K45" s="219">
        <v>123.32387311972879</v>
      </c>
      <c r="M45" s="130">
        <f>+K45*I45</f>
        <v>512.73495276986637</v>
      </c>
      <c r="N45" s="197">
        <v>1.0190466321243523</v>
      </c>
      <c r="O45" s="205">
        <f t="shared" si="13"/>
        <v>503.15160916728126</v>
      </c>
    </row>
    <row r="46" spans="2:15" ht="15.75" thickBot="1">
      <c r="D46" s="222">
        <f>SUM(D34:D45)</f>
        <v>4577.6000000000004</v>
      </c>
      <c r="E46" s="132">
        <f>SUM(E34:E45)</f>
        <v>0.99999999999999978</v>
      </c>
      <c r="G46" s="206">
        <f>+'[1]annual customer usage - Branson'!I12</f>
        <v>30.220715518408291</v>
      </c>
      <c r="H46" s="207">
        <f>SUM(H34:H45)</f>
        <v>4.687234644777809</v>
      </c>
      <c r="I46" s="207">
        <f>SUM(I34:I45)</f>
        <v>34.907950163186101</v>
      </c>
      <c r="K46" s="139">
        <f>AVERAGE(K34:K45)</f>
        <v>128.68252926080041</v>
      </c>
      <c r="M46" s="209">
        <f>SUM(M34:M45)</f>
        <v>4488.0770783735734</v>
      </c>
      <c r="O46" s="209">
        <f>SUM(O34:O45)</f>
        <v>4390.0483708212178</v>
      </c>
    </row>
    <row r="47" spans="2:15" ht="15.75" thickTop="1">
      <c r="D47" s="171"/>
      <c r="E47" s="171"/>
      <c r="G47" s="195">
        <f>SUM(G34:G45)</f>
        <v>30.220715518408291</v>
      </c>
      <c r="K47" s="210" t="s">
        <v>27</v>
      </c>
    </row>
    <row r="48" spans="2:15">
      <c r="D48" s="171"/>
      <c r="E48" s="171"/>
      <c r="G48" s="195"/>
      <c r="K48" s="210"/>
    </row>
    <row r="49" spans="1:15">
      <c r="D49" s="171"/>
      <c r="E49" s="171"/>
      <c r="G49" s="195"/>
      <c r="K49" s="210"/>
    </row>
    <row r="50" spans="1:15">
      <c r="D50" s="171"/>
      <c r="E50" s="171"/>
      <c r="G50" s="195"/>
      <c r="K50" s="210"/>
    </row>
    <row r="51" spans="1:15">
      <c r="D51" s="171"/>
      <c r="E51" s="171"/>
      <c r="G51" s="195"/>
      <c r="K51" s="210"/>
    </row>
    <row r="52" spans="1:15">
      <c r="D52" s="171"/>
      <c r="E52" s="171"/>
      <c r="G52" s="195"/>
      <c r="K52" s="171"/>
    </row>
    <row r="53" spans="1:15">
      <c r="D53" s="337" t="s">
        <v>30</v>
      </c>
      <c r="E53" s="337"/>
      <c r="G53" s="5" t="s">
        <v>1</v>
      </c>
      <c r="K53" s="171"/>
    </row>
    <row r="54" spans="1:15" ht="15.75" thickBot="1">
      <c r="D54" s="334" t="s">
        <v>2</v>
      </c>
      <c r="E54" s="334"/>
      <c r="G54" s="5" t="s">
        <v>3</v>
      </c>
      <c r="H54" s="5" t="s">
        <v>4</v>
      </c>
      <c r="I54" s="5" t="s">
        <v>0</v>
      </c>
      <c r="K54" s="171"/>
      <c r="O54" t="s">
        <v>4</v>
      </c>
    </row>
    <row r="55" spans="1:15">
      <c r="D55" s="5" t="s">
        <v>5</v>
      </c>
      <c r="E55" s="5" t="s">
        <v>6</v>
      </c>
      <c r="G55" s="5" t="s">
        <v>7</v>
      </c>
      <c r="H55" s="5" t="s">
        <v>8</v>
      </c>
      <c r="I55" s="5" t="s">
        <v>4</v>
      </c>
      <c r="K55" s="210" t="s">
        <v>9</v>
      </c>
      <c r="M55" s="127" t="s">
        <v>4</v>
      </c>
      <c r="N55" s="5" t="s">
        <v>4</v>
      </c>
      <c r="O55" s="5" t="s">
        <v>13</v>
      </c>
    </row>
    <row r="56" spans="1:15" ht="15.75" thickBot="1">
      <c r="D56" s="6" t="s">
        <v>10</v>
      </c>
      <c r="E56" s="6" t="s">
        <v>11</v>
      </c>
      <c r="G56" s="192" t="s">
        <v>9</v>
      </c>
      <c r="H56" s="192" t="s">
        <v>12</v>
      </c>
      <c r="I56" s="192" t="s">
        <v>12</v>
      </c>
      <c r="K56" s="128" t="s">
        <v>147</v>
      </c>
      <c r="M56" s="6" t="s">
        <v>13</v>
      </c>
      <c r="N56" s="6" t="s">
        <v>172</v>
      </c>
      <c r="O56" s="6" t="s">
        <v>161</v>
      </c>
    </row>
    <row r="57" spans="1:15" ht="15.75">
      <c r="A57" s="7" t="s">
        <v>148</v>
      </c>
      <c r="D57" s="171"/>
      <c r="E57" s="171"/>
      <c r="K57" s="171"/>
    </row>
    <row r="58" spans="1:15">
      <c r="K58" s="171"/>
    </row>
    <row r="59" spans="1:15" ht="15.75">
      <c r="B59" s="8" t="str">
        <f t="shared" ref="B59:D70" si="14">B34</f>
        <v>December</v>
      </c>
      <c r="C59">
        <f t="shared" si="14"/>
        <v>2014</v>
      </c>
      <c r="D59" s="193">
        <f t="shared" si="14"/>
        <v>931.3900000000001</v>
      </c>
      <c r="E59" s="194">
        <f t="shared" ref="E59:E69" si="15">+D59/$D$71</f>
        <v>0.20346688220901782</v>
      </c>
      <c r="G59" s="195">
        <f t="shared" ref="G59:G69" si="16">+E59*$G$71</f>
        <v>25.691921125218091</v>
      </c>
      <c r="H59" s="196">
        <f>'[1]annual customer usage - Branson'!K29</f>
        <v>18.264771460423635</v>
      </c>
      <c r="I59" s="11">
        <f t="shared" ref="I59:I69" si="17">+G59+H59</f>
        <v>43.956692585641726</v>
      </c>
      <c r="K59" s="223">
        <v>203.20649194617408</v>
      </c>
      <c r="M59" s="130">
        <f t="shared" ref="M59:M69" si="18">+K59*I59</f>
        <v>8932.2852978846549</v>
      </c>
      <c r="N59" s="197">
        <v>1.0245111879720477</v>
      </c>
      <c r="O59" s="140">
        <f>+M59/N59</f>
        <v>8718.5824837750424</v>
      </c>
    </row>
    <row r="60" spans="1:15" ht="15.75">
      <c r="B60" s="8" t="str">
        <f t="shared" si="14"/>
        <v>January</v>
      </c>
      <c r="C60">
        <f t="shared" si="14"/>
        <v>2015</v>
      </c>
      <c r="D60" s="193">
        <f t="shared" si="14"/>
        <v>1002.7500000000002</v>
      </c>
      <c r="E60" s="194">
        <f t="shared" si="15"/>
        <v>0.21905583711988819</v>
      </c>
      <c r="G60" s="195">
        <f t="shared" si="16"/>
        <v>27.660350560251288</v>
      </c>
      <c r="H60" s="196">
        <f t="shared" ref="H60:H70" si="19">+H59</f>
        <v>18.264771460423635</v>
      </c>
      <c r="I60" s="11">
        <f t="shared" si="17"/>
        <v>45.92512202067492</v>
      </c>
      <c r="K60" s="223">
        <v>208.45360934661335</v>
      </c>
      <c r="M60" s="130">
        <f t="shared" si="18"/>
        <v>9573.2574448933192</v>
      </c>
      <c r="N60" s="197">
        <v>1.025266897776858</v>
      </c>
      <c r="O60" s="140">
        <f t="shared" ref="O60:O70" si="20">+M60/N60</f>
        <v>9337.3320309585088</v>
      </c>
    </row>
    <row r="61" spans="1:15" ht="15.75">
      <c r="B61" s="8" t="str">
        <f t="shared" si="14"/>
        <v>February</v>
      </c>
      <c r="C61">
        <f t="shared" si="14"/>
        <v>2015</v>
      </c>
      <c r="D61" s="193">
        <f t="shared" si="14"/>
        <v>780</v>
      </c>
      <c r="E61" s="194">
        <f t="shared" si="15"/>
        <v>0.17039496679482696</v>
      </c>
      <c r="G61" s="195">
        <f t="shared" si="16"/>
        <v>21.515904699073545</v>
      </c>
      <c r="H61" s="196">
        <f t="shared" si="19"/>
        <v>18.264771460423635</v>
      </c>
      <c r="I61" s="11">
        <f t="shared" si="17"/>
        <v>39.780676159497176</v>
      </c>
      <c r="K61" s="223">
        <v>211.30229104800566</v>
      </c>
      <c r="M61" s="130">
        <f t="shared" si="18"/>
        <v>8405.7480119405318</v>
      </c>
      <c r="N61" s="197">
        <v>1.0230039779804718</v>
      </c>
      <c r="O61" s="140">
        <f t="shared" si="20"/>
        <v>8216.7305238973277</v>
      </c>
    </row>
    <row r="62" spans="1:15" ht="15.75">
      <c r="B62" s="8" t="str">
        <f t="shared" si="14"/>
        <v>March</v>
      </c>
      <c r="C62">
        <f t="shared" si="14"/>
        <v>2015</v>
      </c>
      <c r="D62" s="193">
        <f t="shared" si="14"/>
        <v>581.33000000000004</v>
      </c>
      <c r="E62" s="194">
        <f t="shared" si="15"/>
        <v>0.12699449493184201</v>
      </c>
      <c r="G62" s="195">
        <f t="shared" si="16"/>
        <v>16.035693434246699</v>
      </c>
      <c r="H62" s="196">
        <f t="shared" si="19"/>
        <v>18.264771460423635</v>
      </c>
      <c r="I62" s="11">
        <f t="shared" si="17"/>
        <v>34.300464894670334</v>
      </c>
      <c r="K62" s="223">
        <v>210.88010654128198</v>
      </c>
      <c r="M62" s="130">
        <f t="shared" si="18"/>
        <v>7233.2856914035819</v>
      </c>
      <c r="N62" s="197">
        <v>1.0202620723125455</v>
      </c>
      <c r="O62" s="140">
        <f t="shared" si="20"/>
        <v>7089.6349944759568</v>
      </c>
    </row>
    <row r="63" spans="1:15" ht="15.75">
      <c r="B63" s="8" t="str">
        <f t="shared" si="14"/>
        <v>April</v>
      </c>
      <c r="C63">
        <f t="shared" si="14"/>
        <v>2015</v>
      </c>
      <c r="D63" s="193">
        <f t="shared" si="14"/>
        <v>299.73</v>
      </c>
      <c r="E63" s="194">
        <f t="shared" si="15"/>
        <v>6.5477542817196782E-2</v>
      </c>
      <c r="G63" s="195">
        <f t="shared" si="16"/>
        <v>8.2679001480170697</v>
      </c>
      <c r="H63" s="196">
        <f t="shared" si="19"/>
        <v>18.264771460423635</v>
      </c>
      <c r="I63" s="11">
        <f t="shared" si="17"/>
        <v>26.532671608440705</v>
      </c>
      <c r="K63" s="223">
        <v>210.03654531243029</v>
      </c>
      <c r="M63" s="130">
        <f t="shared" si="18"/>
        <v>5572.8306825460886</v>
      </c>
      <c r="N63" s="197">
        <v>1.0201869777446844</v>
      </c>
      <c r="O63" s="140">
        <f t="shared" si="20"/>
        <v>5462.5581428865926</v>
      </c>
    </row>
    <row r="64" spans="1:15" ht="15.75">
      <c r="B64" s="8" t="str">
        <f t="shared" si="14"/>
        <v>May</v>
      </c>
      <c r="C64">
        <f t="shared" si="14"/>
        <v>2015</v>
      </c>
      <c r="D64" s="193">
        <f t="shared" si="14"/>
        <v>94.539999999999978</v>
      </c>
      <c r="E64" s="194">
        <f t="shared" si="15"/>
        <v>2.0652743795875561E-2</v>
      </c>
      <c r="G64" s="195">
        <f t="shared" si="16"/>
        <v>2.6078379875005289</v>
      </c>
      <c r="H64" s="196">
        <f t="shared" si="19"/>
        <v>18.264771460423635</v>
      </c>
      <c r="I64" s="11">
        <f t="shared" si="17"/>
        <v>20.872609447924162</v>
      </c>
      <c r="K64" s="223">
        <v>213.13382592264179</v>
      </c>
      <c r="M64" s="130">
        <f t="shared" si="18"/>
        <v>4448.6591086251565</v>
      </c>
      <c r="N64" s="197">
        <v>1.0224523612261807</v>
      </c>
      <c r="O64" s="140">
        <f t="shared" si="20"/>
        <v>4350.9695681959029</v>
      </c>
    </row>
    <row r="65" spans="1:15" ht="15.75">
      <c r="B65" s="8" t="str">
        <f t="shared" si="14"/>
        <v>June</v>
      </c>
      <c r="C65">
        <f t="shared" si="14"/>
        <v>2015</v>
      </c>
      <c r="D65" s="193">
        <f t="shared" si="14"/>
        <v>9.1899999999999977</v>
      </c>
      <c r="E65" s="194">
        <f t="shared" si="15"/>
        <v>2.0076022369800764E-3</v>
      </c>
      <c r="G65" s="195">
        <f t="shared" si="16"/>
        <v>0.25350149254421261</v>
      </c>
      <c r="H65" s="196">
        <f t="shared" si="19"/>
        <v>18.264771460423635</v>
      </c>
      <c r="I65" s="11">
        <f t="shared" si="17"/>
        <v>18.518272952967848</v>
      </c>
      <c r="K65" s="223">
        <v>214.92042529750091</v>
      </c>
      <c r="M65" s="130">
        <f t="shared" si="18"/>
        <v>3979.955098827058</v>
      </c>
      <c r="N65" s="197">
        <v>1.0215636706971645</v>
      </c>
      <c r="O65" s="140">
        <f t="shared" si="20"/>
        <v>3895.944240177359</v>
      </c>
    </row>
    <row r="66" spans="1:15" ht="15.75">
      <c r="B66" s="8" t="str">
        <f t="shared" si="14"/>
        <v>July</v>
      </c>
      <c r="C66">
        <f t="shared" si="14"/>
        <v>2015</v>
      </c>
      <c r="D66" s="193">
        <f t="shared" si="14"/>
        <v>0.46000000000000019</v>
      </c>
      <c r="E66" s="194">
        <f t="shared" si="15"/>
        <v>1.0048933939182108E-4</v>
      </c>
      <c r="G66" s="195">
        <f t="shared" si="16"/>
        <v>1.2688866873812609E-2</v>
      </c>
      <c r="H66" s="196">
        <f t="shared" si="19"/>
        <v>18.264771460423635</v>
      </c>
      <c r="I66" s="11">
        <f t="shared" si="17"/>
        <v>18.277460327297447</v>
      </c>
      <c r="K66" s="223">
        <v>217.05708098795827</v>
      </c>
      <c r="M66" s="130">
        <f t="shared" si="18"/>
        <v>3967.2521865163963</v>
      </c>
      <c r="N66" s="197">
        <v>1.0160426197929209</v>
      </c>
      <c r="O66" s="140">
        <f t="shared" si="20"/>
        <v>3904.6119810652822</v>
      </c>
    </row>
    <row r="67" spans="1:15" ht="15.75">
      <c r="B67" s="8" t="str">
        <f t="shared" si="14"/>
        <v>August</v>
      </c>
      <c r="C67">
        <f t="shared" si="14"/>
        <v>2015</v>
      </c>
      <c r="D67" s="193">
        <f t="shared" si="14"/>
        <v>1.6199999999999999</v>
      </c>
      <c r="E67" s="194">
        <f t="shared" si="15"/>
        <v>3.5389723872771754E-4</v>
      </c>
      <c r="G67" s="195">
        <f t="shared" si="16"/>
        <v>4.4686878990383518E-2</v>
      </c>
      <c r="H67" s="196">
        <f t="shared" si="19"/>
        <v>18.264771460423635</v>
      </c>
      <c r="I67" s="11">
        <f t="shared" si="17"/>
        <v>18.309458339414018</v>
      </c>
      <c r="K67" s="223">
        <v>219.77318591891452</v>
      </c>
      <c r="M67" s="130">
        <f t="shared" si="18"/>
        <v>4023.927991702657</v>
      </c>
      <c r="N67" s="197">
        <v>1.0158211697458406</v>
      </c>
      <c r="O67" s="140">
        <f t="shared" si="20"/>
        <v>3961.2562836325292</v>
      </c>
    </row>
    <row r="68" spans="1:15" ht="15.75">
      <c r="B68" s="8" t="str">
        <f t="shared" si="14"/>
        <v>September</v>
      </c>
      <c r="C68">
        <f t="shared" si="14"/>
        <v>2015</v>
      </c>
      <c r="D68" s="193">
        <f t="shared" si="14"/>
        <v>53.36</v>
      </c>
      <c r="E68" s="194">
        <f t="shared" si="15"/>
        <v>1.1656763369451239E-2</v>
      </c>
      <c r="G68" s="195">
        <f t="shared" si="16"/>
        <v>1.4719085573622619</v>
      </c>
      <c r="H68" s="196">
        <f t="shared" si="19"/>
        <v>18.264771460423635</v>
      </c>
      <c r="I68" s="11">
        <f t="shared" si="17"/>
        <v>19.736680017785897</v>
      </c>
      <c r="K68" s="223">
        <v>198</v>
      </c>
      <c r="M68" s="130">
        <f t="shared" si="18"/>
        <v>3907.8626435216074</v>
      </c>
      <c r="N68" s="197">
        <v>1.0147430071695447</v>
      </c>
      <c r="O68" s="140">
        <f t="shared" si="20"/>
        <v>3851.0860542137998</v>
      </c>
    </row>
    <row r="69" spans="1:15" ht="15.75">
      <c r="B69" s="8" t="str">
        <f t="shared" si="14"/>
        <v>October</v>
      </c>
      <c r="C69">
        <f t="shared" si="14"/>
        <v>2015</v>
      </c>
      <c r="D69" s="193">
        <f t="shared" si="14"/>
        <v>252.62999999999997</v>
      </c>
      <c r="E69" s="199">
        <f t="shared" si="15"/>
        <v>5.5188308283816837E-2</v>
      </c>
      <c r="F69" s="204"/>
      <c r="G69" s="224">
        <f t="shared" si="16"/>
        <v>6.9686705181114732</v>
      </c>
      <c r="H69" s="196">
        <f t="shared" si="19"/>
        <v>18.264771460423635</v>
      </c>
      <c r="I69" s="202">
        <f t="shared" si="17"/>
        <v>25.233441978535108</v>
      </c>
      <c r="J69" s="204"/>
      <c r="K69" s="223">
        <v>198.10220985524779</v>
      </c>
      <c r="M69" s="130">
        <f t="shared" si="18"/>
        <v>4998.8006182019808</v>
      </c>
      <c r="N69" s="197">
        <v>1.022179765904649</v>
      </c>
      <c r="O69" s="140">
        <f t="shared" si="20"/>
        <v>4890.3341515256325</v>
      </c>
    </row>
    <row r="70" spans="1:15" ht="16.5" thickBot="1">
      <c r="B70" s="8" t="str">
        <f t="shared" si="14"/>
        <v>November</v>
      </c>
      <c r="C70">
        <f t="shared" si="14"/>
        <v>2015</v>
      </c>
      <c r="D70" s="193">
        <f t="shared" si="14"/>
        <v>570.6</v>
      </c>
      <c r="E70" s="194">
        <f>+D70/$D$71</f>
        <v>0.12465047186298496</v>
      </c>
      <c r="G70" s="195">
        <f>+E70*$G$71</f>
        <v>15.739711822168417</v>
      </c>
      <c r="H70" s="196">
        <f t="shared" si="19"/>
        <v>18.264771460423635</v>
      </c>
      <c r="I70" s="11">
        <f>+G70+H70</f>
        <v>34.004483282592048</v>
      </c>
      <c r="K70" s="223">
        <v>200.3634105497936</v>
      </c>
      <c r="M70" s="130">
        <f>+K70*I70</f>
        <v>6813.2542444835835</v>
      </c>
      <c r="N70" s="197">
        <v>1.0190466321243523</v>
      </c>
      <c r="O70" s="205">
        <f t="shared" si="20"/>
        <v>6685.9101730019511</v>
      </c>
    </row>
    <row r="71" spans="1:15" ht="15.75" thickBot="1">
      <c r="D71" s="222">
        <f>SUM(D59:D70)</f>
        <v>4577.6000000000004</v>
      </c>
      <c r="E71" s="132">
        <f>SUM(E59:E70)</f>
        <v>0.99999999999999978</v>
      </c>
      <c r="G71" s="206">
        <f>+'[1]annual customer usage - Branson'!I13</f>
        <v>126.27077609035778</v>
      </c>
      <c r="H71" s="207">
        <f>SUM(H59:H70)</f>
        <v>219.17725752508366</v>
      </c>
      <c r="I71" s="207">
        <f>SUM(I59:I70)</f>
        <v>345.44803361544132</v>
      </c>
      <c r="K71" s="139">
        <f>AVERAGE(K59:K70)</f>
        <v>208.76909856054684</v>
      </c>
      <c r="M71" s="209">
        <f>SUM(M59:M70)</f>
        <v>71857.119020546612</v>
      </c>
      <c r="O71" s="209">
        <f>SUM(O59:O70)</f>
        <v>70364.950627805883</v>
      </c>
    </row>
    <row r="72" spans="1:15" ht="15.75" thickTop="1">
      <c r="D72" s="171"/>
      <c r="E72" s="171"/>
      <c r="G72" s="195">
        <f>SUM(G59:G70)</f>
        <v>126.27077609035778</v>
      </c>
      <c r="K72" s="210" t="s">
        <v>27</v>
      </c>
    </row>
    <row r="73" spans="1:15">
      <c r="D73" s="171"/>
      <c r="E73" s="171"/>
      <c r="G73" s="195"/>
      <c r="K73" s="210"/>
    </row>
    <row r="74" spans="1:15">
      <c r="D74" s="171"/>
      <c r="E74" s="171"/>
      <c r="G74" s="195"/>
      <c r="K74" s="210"/>
    </row>
    <row r="75" spans="1:15">
      <c r="D75" s="171"/>
      <c r="E75" s="171"/>
      <c r="G75" s="195"/>
      <c r="K75" s="210"/>
    </row>
    <row r="76" spans="1:15">
      <c r="D76" s="337" t="s">
        <v>30</v>
      </c>
      <c r="E76" s="337"/>
      <c r="G76" s="5" t="s">
        <v>1</v>
      </c>
      <c r="K76" s="171"/>
    </row>
    <row r="77" spans="1:15" ht="15.75" thickBot="1">
      <c r="D77" s="334" t="s">
        <v>2</v>
      </c>
      <c r="E77" s="334"/>
      <c r="G77" s="5" t="s">
        <v>3</v>
      </c>
      <c r="H77" s="5" t="s">
        <v>4</v>
      </c>
      <c r="I77" s="5" t="s">
        <v>0</v>
      </c>
      <c r="K77" s="171"/>
      <c r="O77" t="s">
        <v>4</v>
      </c>
    </row>
    <row r="78" spans="1:15">
      <c r="D78" s="5" t="s">
        <v>5</v>
      </c>
      <c r="E78" s="5" t="s">
        <v>6</v>
      </c>
      <c r="G78" s="5" t="s">
        <v>7</v>
      </c>
      <c r="H78" s="5" t="s">
        <v>8</v>
      </c>
      <c r="I78" s="5" t="s">
        <v>4</v>
      </c>
      <c r="K78" s="210" t="s">
        <v>9</v>
      </c>
      <c r="M78" s="127" t="s">
        <v>4</v>
      </c>
      <c r="N78" s="5" t="s">
        <v>4</v>
      </c>
      <c r="O78" s="5" t="s">
        <v>13</v>
      </c>
    </row>
    <row r="79" spans="1:15" ht="15.75" thickBot="1">
      <c r="D79" s="6" t="s">
        <v>10</v>
      </c>
      <c r="E79" s="6" t="s">
        <v>11</v>
      </c>
      <c r="G79" s="192" t="s">
        <v>9</v>
      </c>
      <c r="H79" s="192" t="s">
        <v>12</v>
      </c>
      <c r="I79" s="192" t="s">
        <v>12</v>
      </c>
      <c r="K79" s="128" t="s">
        <v>147</v>
      </c>
      <c r="M79" s="6" t="s">
        <v>13</v>
      </c>
      <c r="N79" s="6" t="s">
        <v>172</v>
      </c>
      <c r="O79" s="6" t="s">
        <v>161</v>
      </c>
    </row>
    <row r="80" spans="1:15" ht="15.75">
      <c r="A80" s="7" t="s">
        <v>149</v>
      </c>
      <c r="D80" s="171"/>
      <c r="E80" s="171"/>
      <c r="K80" s="171"/>
    </row>
    <row r="81" spans="2:15">
      <c r="K81" s="171"/>
    </row>
    <row r="82" spans="2:15" ht="15.75">
      <c r="B82" s="8" t="str">
        <f t="shared" ref="B82:D93" si="21">B59</f>
        <v>December</v>
      </c>
      <c r="C82">
        <f t="shared" si="21"/>
        <v>2014</v>
      </c>
      <c r="D82" s="193">
        <f t="shared" si="21"/>
        <v>931.3900000000001</v>
      </c>
      <c r="E82" s="194">
        <f t="shared" ref="E82:E92" si="22">+D82/$D$71</f>
        <v>0.20346688220901782</v>
      </c>
      <c r="G82" s="195">
        <f t="shared" ref="G82:G92" si="23">+E82*$G$94</f>
        <v>13.020878028098982</v>
      </c>
      <c r="H82" s="196">
        <f>'[1]annual customer usage - Branson'!K30</f>
        <v>1.5321756894790604</v>
      </c>
      <c r="I82" s="11">
        <f t="shared" ref="I82:I92" si="24">+G82+H82</f>
        <v>14.553053717578043</v>
      </c>
      <c r="K82" s="223">
        <v>41</v>
      </c>
      <c r="M82" s="130">
        <f t="shared" ref="M82:M92" si="25">+K82*I82</f>
        <v>596.67520242069975</v>
      </c>
      <c r="N82" s="197">
        <v>1.0245111879720477</v>
      </c>
      <c r="O82" s="140">
        <f>+M82/N82</f>
        <v>582.39988926014462</v>
      </c>
    </row>
    <row r="83" spans="2:15" ht="15.75">
      <c r="B83" s="8" t="str">
        <f t="shared" si="21"/>
        <v>January</v>
      </c>
      <c r="C83">
        <f t="shared" si="21"/>
        <v>2015</v>
      </c>
      <c r="D83" s="193">
        <f t="shared" si="21"/>
        <v>1002.7500000000002</v>
      </c>
      <c r="E83" s="194">
        <f t="shared" si="22"/>
        <v>0.21905583711988819</v>
      </c>
      <c r="G83" s="195">
        <f t="shared" si="23"/>
        <v>14.018494339295309</v>
      </c>
      <c r="H83" s="196">
        <f t="shared" ref="H83:H93" si="26">+H82</f>
        <v>1.5321756894790604</v>
      </c>
      <c r="I83" s="11">
        <f t="shared" si="24"/>
        <v>15.55067002877437</v>
      </c>
      <c r="K83" s="223">
        <v>41</v>
      </c>
      <c r="M83" s="130">
        <f t="shared" si="25"/>
        <v>637.57747117974918</v>
      </c>
      <c r="N83" s="197">
        <v>1.025266897776858</v>
      </c>
      <c r="O83" s="140">
        <f t="shared" ref="O83:O93" si="27">+M83/N83</f>
        <v>621.86487495328595</v>
      </c>
    </row>
    <row r="84" spans="2:15" ht="15.75">
      <c r="B84" s="8" t="str">
        <f t="shared" si="21"/>
        <v>February</v>
      </c>
      <c r="C84">
        <f t="shared" si="21"/>
        <v>2015</v>
      </c>
      <c r="D84" s="193">
        <f t="shared" si="21"/>
        <v>780</v>
      </c>
      <c r="E84" s="194">
        <f t="shared" si="22"/>
        <v>0.17039496679482696</v>
      </c>
      <c r="G84" s="195">
        <f t="shared" si="23"/>
        <v>10.904438379107791</v>
      </c>
      <c r="H84" s="196">
        <f t="shared" si="26"/>
        <v>1.5321756894790604</v>
      </c>
      <c r="I84" s="11">
        <f t="shared" si="24"/>
        <v>12.436614068586852</v>
      </c>
      <c r="K84" s="223">
        <v>41</v>
      </c>
      <c r="M84" s="130">
        <f t="shared" si="25"/>
        <v>509.90117681206095</v>
      </c>
      <c r="N84" s="197">
        <v>1.0230039779804718</v>
      </c>
      <c r="O84" s="140">
        <f t="shared" si="27"/>
        <v>498.43518479631416</v>
      </c>
    </row>
    <row r="85" spans="2:15" ht="15.75">
      <c r="B85" s="8" t="str">
        <f t="shared" si="21"/>
        <v>March</v>
      </c>
      <c r="C85">
        <f t="shared" si="21"/>
        <v>2015</v>
      </c>
      <c r="D85" s="193">
        <f t="shared" si="21"/>
        <v>581.33000000000004</v>
      </c>
      <c r="E85" s="194">
        <f t="shared" si="22"/>
        <v>0.12699449493184201</v>
      </c>
      <c r="G85" s="195">
        <f t="shared" si="23"/>
        <v>8.1270220037522218</v>
      </c>
      <c r="H85" s="196">
        <f t="shared" si="26"/>
        <v>1.5321756894790604</v>
      </c>
      <c r="I85" s="11">
        <f t="shared" si="24"/>
        <v>9.6591976932312829</v>
      </c>
      <c r="K85" s="223">
        <v>41</v>
      </c>
      <c r="M85" s="130">
        <f t="shared" si="25"/>
        <v>396.02710542248258</v>
      </c>
      <c r="N85" s="197">
        <v>1.0202620723125455</v>
      </c>
      <c r="O85" s="140">
        <f t="shared" si="27"/>
        <v>388.16213615080289</v>
      </c>
    </row>
    <row r="86" spans="2:15" ht="15.75">
      <c r="B86" s="8" t="str">
        <f t="shared" si="21"/>
        <v>April</v>
      </c>
      <c r="C86">
        <f t="shared" si="21"/>
        <v>2015</v>
      </c>
      <c r="D86" s="193">
        <f t="shared" si="21"/>
        <v>299.73</v>
      </c>
      <c r="E86" s="194">
        <f t="shared" si="22"/>
        <v>6.5477542817196782E-2</v>
      </c>
      <c r="G86" s="195">
        <f t="shared" si="23"/>
        <v>4.1902401479102291</v>
      </c>
      <c r="H86" s="196">
        <f t="shared" si="26"/>
        <v>1.5321756894790604</v>
      </c>
      <c r="I86" s="11">
        <f t="shared" si="24"/>
        <v>5.7224158373892893</v>
      </c>
      <c r="K86" s="223">
        <v>41</v>
      </c>
      <c r="M86" s="130">
        <f t="shared" si="25"/>
        <v>234.61904933296086</v>
      </c>
      <c r="N86" s="197">
        <v>1.0201869777446844</v>
      </c>
      <c r="O86" s="140">
        <f t="shared" si="27"/>
        <v>229.97651847275142</v>
      </c>
    </row>
    <row r="87" spans="2:15" ht="15.75">
      <c r="B87" s="8" t="str">
        <f t="shared" si="21"/>
        <v>May</v>
      </c>
      <c r="C87">
        <f t="shared" si="21"/>
        <v>2015</v>
      </c>
      <c r="D87" s="193">
        <f t="shared" si="21"/>
        <v>94.539999999999978</v>
      </c>
      <c r="E87" s="194">
        <f t="shared" si="22"/>
        <v>2.0652743795875561E-2</v>
      </c>
      <c r="G87" s="195">
        <f t="shared" si="23"/>
        <v>1.32167385174468</v>
      </c>
      <c r="H87" s="196">
        <f t="shared" si="26"/>
        <v>1.5321756894790604</v>
      </c>
      <c r="I87" s="11">
        <f t="shared" si="24"/>
        <v>2.8538495412237403</v>
      </c>
      <c r="K87" s="223">
        <v>41</v>
      </c>
      <c r="M87" s="130">
        <f t="shared" si="25"/>
        <v>117.00783119017335</v>
      </c>
      <c r="N87" s="197">
        <v>1.0224523612261807</v>
      </c>
      <c r="O87" s="140">
        <f t="shared" si="27"/>
        <v>114.43841848030081</v>
      </c>
    </row>
    <row r="88" spans="2:15" ht="15.75">
      <c r="B88" s="8" t="str">
        <f t="shared" si="21"/>
        <v>June</v>
      </c>
      <c r="C88">
        <f t="shared" si="21"/>
        <v>2015</v>
      </c>
      <c r="D88" s="193">
        <f t="shared" si="21"/>
        <v>9.1899999999999977</v>
      </c>
      <c r="E88" s="194">
        <f t="shared" si="22"/>
        <v>2.0076022369800764E-3</v>
      </c>
      <c r="G88" s="195">
        <f t="shared" si="23"/>
        <v>0.12847665218461615</v>
      </c>
      <c r="H88" s="196">
        <f t="shared" si="26"/>
        <v>1.5321756894790604</v>
      </c>
      <c r="I88" s="11">
        <f t="shared" si="24"/>
        <v>1.6606523416636765</v>
      </c>
      <c r="K88" s="223">
        <v>41</v>
      </c>
      <c r="M88" s="130">
        <f t="shared" si="25"/>
        <v>68.086746008210739</v>
      </c>
      <c r="N88" s="197">
        <v>1.0215636706971645</v>
      </c>
      <c r="O88" s="140">
        <f t="shared" si="27"/>
        <v>66.64953733304263</v>
      </c>
    </row>
    <row r="89" spans="2:15" ht="15.75">
      <c r="B89" s="8" t="str">
        <f t="shared" si="21"/>
        <v>July</v>
      </c>
      <c r="C89">
        <f t="shared" si="21"/>
        <v>2015</v>
      </c>
      <c r="D89" s="193">
        <f t="shared" si="21"/>
        <v>0.46000000000000019</v>
      </c>
      <c r="E89" s="194">
        <f t="shared" si="22"/>
        <v>1.0048933939182108E-4</v>
      </c>
      <c r="G89" s="195">
        <f t="shared" si="23"/>
        <v>6.4308226338328032E-3</v>
      </c>
      <c r="H89" s="196">
        <f t="shared" si="26"/>
        <v>1.5321756894790604</v>
      </c>
      <c r="I89" s="11">
        <f t="shared" si="24"/>
        <v>1.5386065121128931</v>
      </c>
      <c r="K89" s="223">
        <v>41</v>
      </c>
      <c r="M89" s="130">
        <f t="shared" si="25"/>
        <v>63.082866996628617</v>
      </c>
      <c r="N89" s="197">
        <v>1.0160426197929209</v>
      </c>
      <c r="O89" s="140">
        <f t="shared" si="27"/>
        <v>62.086831563704976</v>
      </c>
    </row>
    <row r="90" spans="2:15" ht="15.75">
      <c r="B90" s="8" t="str">
        <f t="shared" si="21"/>
        <v>August</v>
      </c>
      <c r="C90">
        <f t="shared" si="21"/>
        <v>2015</v>
      </c>
      <c r="D90" s="193">
        <f t="shared" si="21"/>
        <v>1.6199999999999999</v>
      </c>
      <c r="E90" s="194">
        <f t="shared" si="22"/>
        <v>3.5389723872771754E-4</v>
      </c>
      <c r="G90" s="195">
        <f t="shared" si="23"/>
        <v>2.2647679710454643E-2</v>
      </c>
      <c r="H90" s="196">
        <f t="shared" si="26"/>
        <v>1.5321756894790604</v>
      </c>
      <c r="I90" s="11">
        <f t="shared" si="24"/>
        <v>1.554823369189515</v>
      </c>
      <c r="K90" s="223">
        <v>41</v>
      </c>
      <c r="M90" s="130">
        <f t="shared" si="25"/>
        <v>63.747758136770116</v>
      </c>
      <c r="N90" s="197">
        <v>1.0158211697458406</v>
      </c>
      <c r="O90" s="140">
        <f t="shared" si="27"/>
        <v>62.75490217704349</v>
      </c>
    </row>
    <row r="91" spans="2:15" ht="15.75">
      <c r="B91" s="8" t="str">
        <f t="shared" si="21"/>
        <v>September</v>
      </c>
      <c r="C91">
        <f t="shared" si="21"/>
        <v>2015</v>
      </c>
      <c r="D91" s="193">
        <f t="shared" si="21"/>
        <v>53.36</v>
      </c>
      <c r="E91" s="194">
        <f t="shared" si="22"/>
        <v>1.1656763369451239E-2</v>
      </c>
      <c r="G91" s="195">
        <f t="shared" si="23"/>
        <v>0.74597542552460483</v>
      </c>
      <c r="H91" s="196">
        <f t="shared" si="26"/>
        <v>1.5321756894790604</v>
      </c>
      <c r="I91" s="11">
        <f t="shared" si="24"/>
        <v>2.2781511150036651</v>
      </c>
      <c r="K91" s="223">
        <v>41</v>
      </c>
      <c r="M91" s="130">
        <f t="shared" si="25"/>
        <v>93.404195715150266</v>
      </c>
      <c r="N91" s="197">
        <v>1.0147430071695447</v>
      </c>
      <c r="O91" s="140">
        <f t="shared" si="27"/>
        <v>92.047144011059103</v>
      </c>
    </row>
    <row r="92" spans="2:15" ht="15.75">
      <c r="B92" s="8" t="str">
        <f t="shared" si="21"/>
        <v>October</v>
      </c>
      <c r="C92">
        <f t="shared" si="21"/>
        <v>2015</v>
      </c>
      <c r="D92" s="193">
        <f t="shared" si="21"/>
        <v>252.62999999999997</v>
      </c>
      <c r="E92" s="199">
        <f t="shared" si="22"/>
        <v>5.5188308283816837E-2</v>
      </c>
      <c r="F92" s="200"/>
      <c r="G92" s="201">
        <f t="shared" si="23"/>
        <v>3.5317798304025656</v>
      </c>
      <c r="H92" s="196">
        <f t="shared" si="26"/>
        <v>1.5321756894790604</v>
      </c>
      <c r="I92" s="203">
        <f t="shared" si="24"/>
        <v>5.0639555198816257</v>
      </c>
      <c r="K92" s="223">
        <v>41</v>
      </c>
      <c r="M92" s="130">
        <f t="shared" si="25"/>
        <v>207.62217631514665</v>
      </c>
      <c r="N92" s="197">
        <v>1.022179765904649</v>
      </c>
      <c r="O92" s="140">
        <f t="shared" si="27"/>
        <v>203.11708687698095</v>
      </c>
    </row>
    <row r="93" spans="2:15" ht="16.5" thickBot="1">
      <c r="B93" s="8" t="str">
        <f t="shared" si="21"/>
        <v>November</v>
      </c>
      <c r="C93">
        <f t="shared" si="21"/>
        <v>2015</v>
      </c>
      <c r="D93" s="193">
        <f t="shared" si="21"/>
        <v>570.6</v>
      </c>
      <c r="E93" s="194">
        <f>+D93/$D$71</f>
        <v>0.12465047186298496</v>
      </c>
      <c r="G93" s="195">
        <f>+E93*$G$94</f>
        <v>7.9770160757934692</v>
      </c>
      <c r="H93" s="196">
        <f t="shared" si="26"/>
        <v>1.5321756894790604</v>
      </c>
      <c r="I93" s="11">
        <f>+G93+H93</f>
        <v>9.5091917652725293</v>
      </c>
      <c r="K93" s="223">
        <v>41</v>
      </c>
      <c r="M93" s="130">
        <f>+K93*I93</f>
        <v>389.87686237617368</v>
      </c>
      <c r="N93" s="197">
        <v>1.0190466321243523</v>
      </c>
      <c r="O93" s="205">
        <f t="shared" si="27"/>
        <v>382.58981491692691</v>
      </c>
    </row>
    <row r="94" spans="2:15" ht="15.75" thickBot="1">
      <c r="D94" s="222">
        <f>SUM(D82:D93)</f>
        <v>4577.6000000000004</v>
      </c>
      <c r="E94" s="132">
        <f>SUM(E82:E93)</f>
        <v>0.99999999999999978</v>
      </c>
      <c r="G94" s="206">
        <f>+'[1]annual customer usage - Branson'!I14</f>
        <v>63.99507323615876</v>
      </c>
      <c r="H94" s="207">
        <f>SUM(H82:H93)</f>
        <v>18.386108273748729</v>
      </c>
      <c r="I94" s="207">
        <f>SUM(I82:I93)</f>
        <v>82.381181509907492</v>
      </c>
      <c r="K94" s="139">
        <f>AVERAGE(K82:K93)</f>
        <v>41</v>
      </c>
      <c r="M94" s="209">
        <f>SUM(M82:M93)</f>
        <v>3377.6284419062067</v>
      </c>
      <c r="O94" s="209">
        <f>SUM(O82:O93)</f>
        <v>3304.5223389923581</v>
      </c>
    </row>
    <row r="95" spans="2:15" ht="15.75" thickTop="1">
      <c r="D95" s="171"/>
      <c r="E95" s="171"/>
      <c r="G95" s="195">
        <f>SUM(G82:G93)</f>
        <v>63.995073236158753</v>
      </c>
      <c r="K95" s="210" t="s">
        <v>27</v>
      </c>
    </row>
    <row r="96" spans="2:15">
      <c r="D96" s="171"/>
      <c r="E96" s="171"/>
      <c r="G96" s="195"/>
      <c r="K96" s="210"/>
    </row>
    <row r="97" spans="1:15">
      <c r="D97" s="337" t="s">
        <v>30</v>
      </c>
      <c r="E97" s="337"/>
      <c r="G97" s="5" t="s">
        <v>1</v>
      </c>
      <c r="K97" s="171"/>
    </row>
    <row r="98" spans="1:15" ht="15.75" thickBot="1">
      <c r="D98" s="334" t="s">
        <v>2</v>
      </c>
      <c r="E98" s="334"/>
      <c r="G98" s="5" t="s">
        <v>3</v>
      </c>
      <c r="H98" s="5" t="s">
        <v>4</v>
      </c>
      <c r="I98" s="5" t="s">
        <v>0</v>
      </c>
      <c r="K98" s="171"/>
      <c r="O98" t="s">
        <v>4</v>
      </c>
    </row>
    <row r="99" spans="1:15">
      <c r="D99" s="5" t="s">
        <v>5</v>
      </c>
      <c r="E99" s="5" t="s">
        <v>6</v>
      </c>
      <c r="G99" s="5" t="s">
        <v>7</v>
      </c>
      <c r="H99" s="5" t="s">
        <v>8</v>
      </c>
      <c r="I99" s="5" t="s">
        <v>4</v>
      </c>
      <c r="K99" s="210" t="s">
        <v>9</v>
      </c>
      <c r="M99" s="127" t="s">
        <v>4</v>
      </c>
      <c r="N99" s="5" t="s">
        <v>4</v>
      </c>
      <c r="O99" s="5" t="s">
        <v>13</v>
      </c>
    </row>
    <row r="100" spans="1:15" ht="15.75" thickBot="1">
      <c r="D100" s="6" t="s">
        <v>10</v>
      </c>
      <c r="E100" s="6" t="s">
        <v>11</v>
      </c>
      <c r="G100" s="192" t="s">
        <v>9</v>
      </c>
      <c r="H100" s="192" t="s">
        <v>12</v>
      </c>
      <c r="I100" s="192" t="s">
        <v>12</v>
      </c>
      <c r="K100" s="128" t="s">
        <v>147</v>
      </c>
      <c r="M100" s="6" t="s">
        <v>13</v>
      </c>
      <c r="N100" s="6" t="s">
        <v>172</v>
      </c>
      <c r="O100" s="6" t="s">
        <v>161</v>
      </c>
    </row>
    <row r="101" spans="1:15" ht="15.75">
      <c r="A101" s="7" t="s">
        <v>31</v>
      </c>
      <c r="D101" s="171"/>
      <c r="E101" s="171"/>
      <c r="K101" s="171"/>
    </row>
    <row r="102" spans="1:15">
      <c r="K102" s="171"/>
    </row>
    <row r="103" spans="1:15" ht="15.75">
      <c r="B103" s="8" t="str">
        <f t="shared" ref="B103:D114" si="28">B82</f>
        <v>December</v>
      </c>
      <c r="C103">
        <f t="shared" si="28"/>
        <v>2014</v>
      </c>
      <c r="D103" s="193">
        <f t="shared" si="28"/>
        <v>931.3900000000001</v>
      </c>
      <c r="E103" s="194">
        <f t="shared" ref="E103:E113" si="29">+D103/$D$137</f>
        <v>0.20346688220901782</v>
      </c>
      <c r="G103" s="195">
        <f t="shared" ref="G103:G113" si="30">+E103*$G$115</f>
        <v>58.854128901854828</v>
      </c>
      <c r="H103" s="196">
        <f>'[1]annual customer usage - Branson'!K31</f>
        <v>83.323749281196086</v>
      </c>
      <c r="I103" s="11">
        <f t="shared" ref="I103:I113" si="31">+G103+H103</f>
        <v>142.17787818305092</v>
      </c>
      <c r="K103" s="223">
        <v>118</v>
      </c>
      <c r="M103" s="130">
        <f t="shared" ref="M103:M113" si="32">+K103*I103</f>
        <v>16776.98962560001</v>
      </c>
      <c r="N103" s="197">
        <v>1.0245111879720477</v>
      </c>
      <c r="O103" s="140">
        <f>+M103/N103</f>
        <v>16375.604114981852</v>
      </c>
    </row>
    <row r="104" spans="1:15" ht="15.75">
      <c r="B104" s="8" t="str">
        <f t="shared" si="28"/>
        <v>January</v>
      </c>
      <c r="C104">
        <f t="shared" si="28"/>
        <v>2015</v>
      </c>
      <c r="D104" s="193">
        <f t="shared" si="28"/>
        <v>1002.7500000000002</v>
      </c>
      <c r="E104" s="194">
        <f t="shared" si="29"/>
        <v>0.21905583711988819</v>
      </c>
      <c r="G104" s="195">
        <f t="shared" si="30"/>
        <v>63.363336256922381</v>
      </c>
      <c r="H104" s="196">
        <f t="shared" ref="H104:H114" si="33">+H103</f>
        <v>83.323749281196086</v>
      </c>
      <c r="I104" s="11">
        <f t="shared" si="31"/>
        <v>146.68708553811848</v>
      </c>
      <c r="K104" s="223">
        <v>118</v>
      </c>
      <c r="M104" s="130">
        <f t="shared" si="32"/>
        <v>17309.076093497981</v>
      </c>
      <c r="N104" s="197">
        <v>1.025266897776858</v>
      </c>
      <c r="O104" s="140">
        <f t="shared" ref="O104:O114" si="34">+M104/N104</f>
        <v>16882.507502222292</v>
      </c>
    </row>
    <row r="105" spans="1:15" s="200" customFormat="1" ht="15.75">
      <c r="A105"/>
      <c r="B105" s="8" t="str">
        <f t="shared" si="28"/>
        <v>February</v>
      </c>
      <c r="C105">
        <f t="shared" si="28"/>
        <v>2015</v>
      </c>
      <c r="D105" s="193">
        <f t="shared" si="28"/>
        <v>780</v>
      </c>
      <c r="E105" s="194">
        <f t="shared" si="29"/>
        <v>0.17039496679482696</v>
      </c>
      <c r="F105"/>
      <c r="G105" s="195">
        <f t="shared" si="30"/>
        <v>49.287860663574612</v>
      </c>
      <c r="H105" s="196">
        <f t="shared" si="33"/>
        <v>83.323749281196086</v>
      </c>
      <c r="I105" s="11">
        <f t="shared" si="31"/>
        <v>132.61160994477069</v>
      </c>
      <c r="J105"/>
      <c r="K105" s="223">
        <v>118</v>
      </c>
      <c r="L105"/>
      <c r="M105" s="130">
        <f t="shared" si="32"/>
        <v>15648.169973482942</v>
      </c>
      <c r="N105" s="197">
        <v>1.0230039779804718</v>
      </c>
      <c r="O105" s="140">
        <f t="shared" si="34"/>
        <v>15296.294354958658</v>
      </c>
    </row>
    <row r="106" spans="1:15" s="200" customFormat="1" ht="15.75">
      <c r="A106"/>
      <c r="B106" s="8" t="str">
        <f t="shared" si="28"/>
        <v>March</v>
      </c>
      <c r="C106">
        <f t="shared" si="28"/>
        <v>2015</v>
      </c>
      <c r="D106" s="193">
        <f t="shared" si="28"/>
        <v>581.33000000000004</v>
      </c>
      <c r="E106" s="194">
        <f t="shared" si="29"/>
        <v>0.12699449493184201</v>
      </c>
      <c r="F106"/>
      <c r="G106" s="195">
        <f t="shared" si="30"/>
        <v>36.733989794302353</v>
      </c>
      <c r="H106" s="196">
        <f t="shared" si="33"/>
        <v>83.323749281196086</v>
      </c>
      <c r="I106" s="11">
        <f t="shared" si="31"/>
        <v>120.05773907549843</v>
      </c>
      <c r="J106"/>
      <c r="K106" s="223">
        <v>118</v>
      </c>
      <c r="L106"/>
      <c r="M106" s="130">
        <f t="shared" si="32"/>
        <v>14166.813210908815</v>
      </c>
      <c r="N106" s="197">
        <v>1.0202620723125455</v>
      </c>
      <c r="O106" s="140">
        <f t="shared" si="34"/>
        <v>13885.464916673855</v>
      </c>
    </row>
    <row r="107" spans="1:15" s="200" customFormat="1" ht="15.75">
      <c r="A107"/>
      <c r="B107" s="8" t="str">
        <f t="shared" si="28"/>
        <v>April</v>
      </c>
      <c r="C107">
        <f t="shared" si="28"/>
        <v>2015</v>
      </c>
      <c r="D107" s="193">
        <f t="shared" si="28"/>
        <v>299.73</v>
      </c>
      <c r="E107" s="194">
        <f t="shared" si="29"/>
        <v>6.5477542817196782E-2</v>
      </c>
      <c r="F107"/>
      <c r="G107" s="195">
        <f t="shared" si="30"/>
        <v>18.939808303452846</v>
      </c>
      <c r="H107" s="196">
        <f t="shared" si="33"/>
        <v>83.323749281196086</v>
      </c>
      <c r="I107" s="11">
        <f t="shared" si="31"/>
        <v>102.26355758464894</v>
      </c>
      <c r="J107"/>
      <c r="K107" s="223">
        <v>118</v>
      </c>
      <c r="L107"/>
      <c r="M107" s="130">
        <f t="shared" si="32"/>
        <v>12067.099794988575</v>
      </c>
      <c r="N107" s="197">
        <v>1.0201869777446844</v>
      </c>
      <c r="O107" s="140">
        <f t="shared" si="34"/>
        <v>11828.321727518198</v>
      </c>
    </row>
    <row r="108" spans="1:15" s="200" customFormat="1" ht="15.75">
      <c r="A108"/>
      <c r="B108" s="8" t="str">
        <f t="shared" si="28"/>
        <v>May</v>
      </c>
      <c r="C108">
        <f t="shared" si="28"/>
        <v>2015</v>
      </c>
      <c r="D108" s="193">
        <f t="shared" si="28"/>
        <v>94.539999999999978</v>
      </c>
      <c r="E108" s="194">
        <f t="shared" si="29"/>
        <v>2.0652743795875561E-2</v>
      </c>
      <c r="F108"/>
      <c r="G108" s="195">
        <f t="shared" si="30"/>
        <v>5.9739414706850553</v>
      </c>
      <c r="H108" s="196">
        <f t="shared" si="33"/>
        <v>83.323749281196086</v>
      </c>
      <c r="I108" s="11">
        <f t="shared" si="31"/>
        <v>89.297690751881134</v>
      </c>
      <c r="J108"/>
      <c r="K108" s="223">
        <v>118</v>
      </c>
      <c r="L108"/>
      <c r="M108" s="130">
        <f t="shared" si="32"/>
        <v>10537.127508721975</v>
      </c>
      <c r="N108" s="197">
        <v>1.0224523612261807</v>
      </c>
      <c r="O108" s="140">
        <f t="shared" si="34"/>
        <v>10305.739326657016</v>
      </c>
    </row>
    <row r="109" spans="1:15" s="200" customFormat="1" ht="15.75">
      <c r="A109"/>
      <c r="B109" s="8" t="str">
        <f t="shared" si="28"/>
        <v>June</v>
      </c>
      <c r="C109">
        <f t="shared" si="28"/>
        <v>2015</v>
      </c>
      <c r="D109" s="193">
        <f t="shared" si="28"/>
        <v>9.1899999999999977</v>
      </c>
      <c r="E109" s="194">
        <f t="shared" si="29"/>
        <v>2.0076022369800764E-3</v>
      </c>
      <c r="F109"/>
      <c r="G109" s="195">
        <f t="shared" si="30"/>
        <v>0.58071210192083422</v>
      </c>
      <c r="H109" s="196">
        <f t="shared" si="33"/>
        <v>83.323749281196086</v>
      </c>
      <c r="I109" s="11">
        <f t="shared" si="31"/>
        <v>83.904461383116924</v>
      </c>
      <c r="J109"/>
      <c r="K109" s="223">
        <v>118</v>
      </c>
      <c r="L109"/>
      <c r="M109" s="130">
        <f t="shared" si="32"/>
        <v>9900.7264432077973</v>
      </c>
      <c r="N109" s="197">
        <v>1.0215636706971645</v>
      </c>
      <c r="O109" s="140">
        <f t="shared" si="34"/>
        <v>9691.7370176751319</v>
      </c>
    </row>
    <row r="110" spans="1:15" s="200" customFormat="1" ht="15.75">
      <c r="A110"/>
      <c r="B110" s="8" t="str">
        <f t="shared" si="28"/>
        <v>July</v>
      </c>
      <c r="C110">
        <f t="shared" si="28"/>
        <v>2015</v>
      </c>
      <c r="D110" s="193">
        <f t="shared" si="28"/>
        <v>0.46000000000000019</v>
      </c>
      <c r="E110" s="194">
        <f t="shared" si="29"/>
        <v>1.0048933939182108E-4</v>
      </c>
      <c r="F110"/>
      <c r="G110" s="195">
        <f t="shared" si="30"/>
        <v>2.9067199878518378E-2</v>
      </c>
      <c r="H110" s="196">
        <f t="shared" si="33"/>
        <v>83.323749281196086</v>
      </c>
      <c r="I110" s="11">
        <f t="shared" si="31"/>
        <v>83.352816481074598</v>
      </c>
      <c r="J110"/>
      <c r="K110" s="223">
        <v>118</v>
      </c>
      <c r="L110"/>
      <c r="M110" s="130">
        <f t="shared" si="32"/>
        <v>9835.6323447668019</v>
      </c>
      <c r="N110" s="197">
        <v>1.0160426197929209</v>
      </c>
      <c r="O110" s="140">
        <f t="shared" si="34"/>
        <v>9680.3344201952841</v>
      </c>
    </row>
    <row r="111" spans="1:15" s="200" customFormat="1" ht="15.75">
      <c r="A111"/>
      <c r="B111" s="8" t="str">
        <f t="shared" si="28"/>
        <v>August</v>
      </c>
      <c r="C111">
        <f t="shared" si="28"/>
        <v>2015</v>
      </c>
      <c r="D111" s="193">
        <f t="shared" si="28"/>
        <v>1.6199999999999999</v>
      </c>
      <c r="E111" s="194">
        <f t="shared" si="29"/>
        <v>3.5389723872771754E-4</v>
      </c>
      <c r="F111"/>
      <c r="G111" s="195">
        <f t="shared" si="30"/>
        <v>0.10236709522434728</v>
      </c>
      <c r="H111" s="196">
        <f t="shared" si="33"/>
        <v>83.323749281196086</v>
      </c>
      <c r="I111" s="11">
        <f t="shared" si="31"/>
        <v>83.426116376420438</v>
      </c>
      <c r="J111"/>
      <c r="K111" s="223">
        <v>118</v>
      </c>
      <c r="L111"/>
      <c r="M111" s="130">
        <f t="shared" si="32"/>
        <v>9844.2817324176121</v>
      </c>
      <c r="N111" s="197">
        <v>1.0158211697458406</v>
      </c>
      <c r="O111" s="140">
        <f t="shared" si="34"/>
        <v>9690.9594184581329</v>
      </c>
    </row>
    <row r="112" spans="1:15" s="200" customFormat="1" ht="15.75">
      <c r="A112"/>
      <c r="B112" s="8" t="str">
        <f t="shared" si="28"/>
        <v>September</v>
      </c>
      <c r="C112">
        <f t="shared" si="28"/>
        <v>2015</v>
      </c>
      <c r="D112" s="193">
        <f t="shared" si="28"/>
        <v>53.36</v>
      </c>
      <c r="E112" s="194">
        <f t="shared" si="29"/>
        <v>1.1656763369451239E-2</v>
      </c>
      <c r="F112"/>
      <c r="G112" s="195">
        <f t="shared" si="30"/>
        <v>3.3717951859081299</v>
      </c>
      <c r="H112" s="196">
        <f t="shared" si="33"/>
        <v>83.323749281196086</v>
      </c>
      <c r="I112" s="11">
        <f t="shared" si="31"/>
        <v>86.695544467104213</v>
      </c>
      <c r="J112"/>
      <c r="K112" s="223">
        <v>118</v>
      </c>
      <c r="L112"/>
      <c r="M112" s="130">
        <f t="shared" si="32"/>
        <v>10230.074247118297</v>
      </c>
      <c r="N112" s="197">
        <v>1.0147430071695447</v>
      </c>
      <c r="O112" s="140">
        <f t="shared" si="34"/>
        <v>10081.443453996664</v>
      </c>
    </row>
    <row r="113" spans="1:15" s="200" customFormat="1" ht="15.75">
      <c r="A113"/>
      <c r="B113" s="8" t="str">
        <f t="shared" si="28"/>
        <v>October</v>
      </c>
      <c r="C113">
        <f t="shared" si="28"/>
        <v>2015</v>
      </c>
      <c r="D113" s="193">
        <f t="shared" si="28"/>
        <v>252.62999999999997</v>
      </c>
      <c r="E113" s="199">
        <f t="shared" si="29"/>
        <v>5.5188308283816837E-2</v>
      </c>
      <c r="G113" s="201">
        <f t="shared" si="30"/>
        <v>15.963579794152377</v>
      </c>
      <c r="H113" s="196">
        <f t="shared" si="33"/>
        <v>83.323749281196086</v>
      </c>
      <c r="I113" s="203">
        <f t="shared" si="31"/>
        <v>99.287329075348467</v>
      </c>
      <c r="K113" s="225">
        <v>118</v>
      </c>
      <c r="L113"/>
      <c r="M113" s="130">
        <f t="shared" si="32"/>
        <v>11715.904830891119</v>
      </c>
      <c r="N113" s="197">
        <v>1.022179765904649</v>
      </c>
      <c r="O113" s="140">
        <f t="shared" si="34"/>
        <v>11461.687289928221</v>
      </c>
    </row>
    <row r="114" spans="1:15" s="200" customFormat="1" ht="16.5" thickBot="1">
      <c r="A114"/>
      <c r="B114" s="8" t="str">
        <f t="shared" si="28"/>
        <v>November</v>
      </c>
      <c r="C114">
        <f t="shared" si="28"/>
        <v>2015</v>
      </c>
      <c r="D114" s="193">
        <f t="shared" si="28"/>
        <v>570.6</v>
      </c>
      <c r="E114" s="194">
        <f>+D114/$D$137</f>
        <v>0.12465047186298496</v>
      </c>
      <c r="F114"/>
      <c r="G114" s="195">
        <f>+E114*$G$115</f>
        <v>36.055965762353431</v>
      </c>
      <c r="H114" s="196">
        <f t="shared" si="33"/>
        <v>83.323749281196086</v>
      </c>
      <c r="I114" s="11">
        <f>+G114+H114</f>
        <v>119.37971504354951</v>
      </c>
      <c r="J114"/>
      <c r="K114" s="223">
        <v>118</v>
      </c>
      <c r="L114"/>
      <c r="M114" s="130">
        <f>+K114*I114</f>
        <v>14086.806375138842</v>
      </c>
      <c r="N114" s="197">
        <v>1.0190466321243523</v>
      </c>
      <c r="O114" s="205">
        <f t="shared" si="34"/>
        <v>13823.514970824079</v>
      </c>
    </row>
    <row r="115" spans="1:15" s="200" customFormat="1" ht="15.75" thickBot="1">
      <c r="A115"/>
      <c r="B115"/>
      <c r="C115"/>
      <c r="D115" s="222">
        <f>SUM(D103:D114)</f>
        <v>4577.6000000000004</v>
      </c>
      <c r="E115" s="132">
        <f>SUM(E103:E114)</f>
        <v>0.99999999999999978</v>
      </c>
      <c r="F115"/>
      <c r="G115" s="206">
        <f>+'[1]annual customer usage - Branson'!I15</f>
        <v>289.25655253022973</v>
      </c>
      <c r="H115" s="207">
        <f>SUM(H103:H114)</f>
        <v>999.88499137435326</v>
      </c>
      <c r="I115" s="207">
        <f>SUM(I103:I114)</f>
        <v>1289.1415439045827</v>
      </c>
      <c r="J115"/>
      <c r="K115" s="139">
        <f>AVERAGE(K103:K114)</f>
        <v>118</v>
      </c>
      <c r="L115"/>
      <c r="M115" s="209">
        <f>SUM(M103:M114)</f>
        <v>152118.70218074074</v>
      </c>
      <c r="N115"/>
      <c r="O115" s="209">
        <f>SUM(O103:O114)</f>
        <v>149003.60851408937</v>
      </c>
    </row>
    <row r="116" spans="1:15" s="200" customFormat="1" ht="15.75" thickTop="1">
      <c r="A116"/>
      <c r="B116"/>
      <c r="C116"/>
      <c r="D116" s="171"/>
      <c r="E116" s="171"/>
      <c r="F116"/>
      <c r="G116" s="195">
        <f>SUM(G103:G114)</f>
        <v>289.25655253022967</v>
      </c>
      <c r="H116"/>
      <c r="I116"/>
      <c r="J116"/>
      <c r="K116" s="210" t="s">
        <v>27</v>
      </c>
      <c r="L116"/>
      <c r="M116"/>
      <c r="N116"/>
      <c r="O116"/>
    </row>
    <row r="117" spans="1:15" s="200" customFormat="1" ht="15.75">
      <c r="B117" s="8"/>
      <c r="D117" s="198"/>
      <c r="E117" s="199"/>
      <c r="G117" s="201"/>
      <c r="H117" s="203"/>
      <c r="I117" s="203"/>
      <c r="K117" s="2"/>
      <c r="M117" s="131"/>
    </row>
    <row r="118" spans="1:15">
      <c r="D118" s="171"/>
      <c r="E118" s="171"/>
      <c r="K118" s="171"/>
    </row>
    <row r="119" spans="1:15">
      <c r="D119" s="337" t="s">
        <v>30</v>
      </c>
      <c r="E119" s="337"/>
      <c r="G119" s="5" t="s">
        <v>1</v>
      </c>
      <c r="K119" s="171"/>
    </row>
    <row r="120" spans="1:15" ht="15.75" thickBot="1">
      <c r="D120" s="334" t="s">
        <v>2</v>
      </c>
      <c r="E120" s="334"/>
      <c r="G120" s="5" t="s">
        <v>3</v>
      </c>
      <c r="H120" s="5" t="s">
        <v>4</v>
      </c>
      <c r="I120" s="5" t="s">
        <v>0</v>
      </c>
      <c r="K120" s="171"/>
      <c r="O120" t="s">
        <v>4</v>
      </c>
    </row>
    <row r="121" spans="1:15">
      <c r="D121" s="5" t="s">
        <v>5</v>
      </c>
      <c r="E121" s="5" t="s">
        <v>6</v>
      </c>
      <c r="G121" s="5" t="s">
        <v>7</v>
      </c>
      <c r="H121" s="5" t="s">
        <v>8</v>
      </c>
      <c r="I121" s="5" t="s">
        <v>4</v>
      </c>
      <c r="K121" s="210" t="s">
        <v>9</v>
      </c>
      <c r="M121" s="127" t="s">
        <v>4</v>
      </c>
      <c r="N121" s="5" t="s">
        <v>4</v>
      </c>
      <c r="O121" s="5" t="s">
        <v>13</v>
      </c>
    </row>
    <row r="122" spans="1:15" ht="15.75" thickBot="1">
      <c r="D122" s="6" t="s">
        <v>10</v>
      </c>
      <c r="E122" s="6" t="s">
        <v>11</v>
      </c>
      <c r="G122" s="192" t="s">
        <v>9</v>
      </c>
      <c r="H122" s="192" t="s">
        <v>12</v>
      </c>
      <c r="I122" s="192" t="s">
        <v>12</v>
      </c>
      <c r="K122" s="128" t="s">
        <v>150</v>
      </c>
      <c r="M122" s="6" t="s">
        <v>13</v>
      </c>
      <c r="N122" s="6" t="s">
        <v>172</v>
      </c>
      <c r="O122" s="6" t="s">
        <v>161</v>
      </c>
    </row>
    <row r="123" spans="1:15" ht="15.75">
      <c r="A123" s="7" t="s">
        <v>28</v>
      </c>
      <c r="D123" s="171"/>
      <c r="E123" s="171"/>
      <c r="K123" s="171"/>
    </row>
    <row r="124" spans="1:15">
      <c r="K124" s="171"/>
    </row>
    <row r="125" spans="1:15" ht="15.75">
      <c r="B125" s="8" t="str">
        <f t="shared" ref="B125:D136" si="35">B103</f>
        <v>December</v>
      </c>
      <c r="C125">
        <f t="shared" si="35"/>
        <v>2014</v>
      </c>
      <c r="D125" s="193">
        <f t="shared" si="35"/>
        <v>931.3900000000001</v>
      </c>
      <c r="E125" s="194">
        <f t="shared" ref="E125:E135" si="36">+D125/$D$137</f>
        <v>0.20346688220901782</v>
      </c>
      <c r="G125" s="195">
        <f t="shared" ref="G125:G135" si="37">+E125*$G$137</f>
        <v>0</v>
      </c>
      <c r="H125" s="11"/>
      <c r="I125" s="11">
        <f t="shared" ref="I125:I135" si="38">+G125+H125</f>
        <v>0</v>
      </c>
      <c r="K125" s="213">
        <f>+K136</f>
        <v>0</v>
      </c>
      <c r="M125" s="130">
        <f t="shared" ref="M125:M135" si="39">+K125*I125</f>
        <v>0</v>
      </c>
      <c r="N125" s="197">
        <v>1.0245111879720477</v>
      </c>
      <c r="O125" s="140">
        <f>+M125/N125</f>
        <v>0</v>
      </c>
    </row>
    <row r="126" spans="1:15" ht="15.75">
      <c r="B126" s="8" t="str">
        <f t="shared" si="35"/>
        <v>January</v>
      </c>
      <c r="C126">
        <f t="shared" si="35"/>
        <v>2015</v>
      </c>
      <c r="D126" s="193">
        <f t="shared" si="35"/>
        <v>1002.7500000000002</v>
      </c>
      <c r="E126" s="194">
        <f t="shared" si="36"/>
        <v>0.21905583711988819</v>
      </c>
      <c r="G126" s="195">
        <f t="shared" si="37"/>
        <v>0</v>
      </c>
      <c r="H126" s="11"/>
      <c r="I126" s="11">
        <f t="shared" si="38"/>
        <v>0</v>
      </c>
      <c r="K126" s="213">
        <f t="shared" ref="K126:K135" si="40">+K125</f>
        <v>0</v>
      </c>
      <c r="M126" s="130">
        <f t="shared" si="39"/>
        <v>0</v>
      </c>
      <c r="N126" s="197">
        <v>1.025266897776858</v>
      </c>
      <c r="O126" s="140">
        <f t="shared" ref="O126:O136" si="41">+M126/N126</f>
        <v>0</v>
      </c>
    </row>
    <row r="127" spans="1:15" ht="15.75">
      <c r="B127" s="8" t="str">
        <f t="shared" si="35"/>
        <v>February</v>
      </c>
      <c r="C127">
        <f t="shared" si="35"/>
        <v>2015</v>
      </c>
      <c r="D127" s="193">
        <f t="shared" si="35"/>
        <v>780</v>
      </c>
      <c r="E127" s="194">
        <f t="shared" si="36"/>
        <v>0.17039496679482696</v>
      </c>
      <c r="G127" s="195">
        <f t="shared" si="37"/>
        <v>0</v>
      </c>
      <c r="H127" s="11"/>
      <c r="I127" s="11">
        <f t="shared" si="38"/>
        <v>0</v>
      </c>
      <c r="K127" s="213">
        <f t="shared" si="40"/>
        <v>0</v>
      </c>
      <c r="M127" s="130">
        <f t="shared" si="39"/>
        <v>0</v>
      </c>
      <c r="N127" s="197">
        <v>1.0230039779804718</v>
      </c>
      <c r="O127" s="140">
        <f t="shared" si="41"/>
        <v>0</v>
      </c>
    </row>
    <row r="128" spans="1:15" ht="15.75">
      <c r="B128" s="8" t="str">
        <f t="shared" si="35"/>
        <v>March</v>
      </c>
      <c r="C128">
        <f t="shared" si="35"/>
        <v>2015</v>
      </c>
      <c r="D128" s="193">
        <f t="shared" si="35"/>
        <v>581.33000000000004</v>
      </c>
      <c r="E128" s="194">
        <f t="shared" si="36"/>
        <v>0.12699449493184201</v>
      </c>
      <c r="G128" s="195">
        <f t="shared" si="37"/>
        <v>0</v>
      </c>
      <c r="H128" s="11"/>
      <c r="I128" s="11">
        <f t="shared" si="38"/>
        <v>0</v>
      </c>
      <c r="K128" s="213">
        <f t="shared" si="40"/>
        <v>0</v>
      </c>
      <c r="M128" s="130">
        <f t="shared" si="39"/>
        <v>0</v>
      </c>
      <c r="N128" s="197">
        <v>1.0202620723125455</v>
      </c>
      <c r="O128" s="140">
        <f t="shared" si="41"/>
        <v>0</v>
      </c>
    </row>
    <row r="129" spans="1:15" ht="15.75">
      <c r="B129" s="8" t="str">
        <f t="shared" si="35"/>
        <v>April</v>
      </c>
      <c r="C129">
        <f t="shared" si="35"/>
        <v>2015</v>
      </c>
      <c r="D129" s="193">
        <f t="shared" si="35"/>
        <v>299.73</v>
      </c>
      <c r="E129" s="194">
        <f t="shared" si="36"/>
        <v>6.5477542817196782E-2</v>
      </c>
      <c r="G129" s="195">
        <f t="shared" si="37"/>
        <v>0</v>
      </c>
      <c r="H129" s="11"/>
      <c r="I129" s="11">
        <f t="shared" si="38"/>
        <v>0</v>
      </c>
      <c r="K129" s="213">
        <f t="shared" si="40"/>
        <v>0</v>
      </c>
      <c r="M129" s="130">
        <f t="shared" si="39"/>
        <v>0</v>
      </c>
      <c r="N129" s="197">
        <v>1.0201869777446844</v>
      </c>
      <c r="O129" s="140">
        <f t="shared" si="41"/>
        <v>0</v>
      </c>
    </row>
    <row r="130" spans="1:15" ht="15.75">
      <c r="B130" s="8" t="str">
        <f t="shared" si="35"/>
        <v>May</v>
      </c>
      <c r="C130">
        <f t="shared" si="35"/>
        <v>2015</v>
      </c>
      <c r="D130" s="193">
        <f t="shared" si="35"/>
        <v>94.539999999999978</v>
      </c>
      <c r="E130" s="194">
        <f t="shared" si="36"/>
        <v>2.0652743795875561E-2</v>
      </c>
      <c r="G130" s="195">
        <f t="shared" si="37"/>
        <v>0</v>
      </c>
      <c r="H130" s="11"/>
      <c r="I130" s="11">
        <f t="shared" si="38"/>
        <v>0</v>
      </c>
      <c r="K130" s="213">
        <f t="shared" si="40"/>
        <v>0</v>
      </c>
      <c r="M130" s="130">
        <f t="shared" si="39"/>
        <v>0</v>
      </c>
      <c r="N130" s="197">
        <v>1.0224523612261807</v>
      </c>
      <c r="O130" s="140">
        <f t="shared" si="41"/>
        <v>0</v>
      </c>
    </row>
    <row r="131" spans="1:15" ht="15.75">
      <c r="B131" s="8" t="str">
        <f t="shared" si="35"/>
        <v>June</v>
      </c>
      <c r="C131">
        <f t="shared" si="35"/>
        <v>2015</v>
      </c>
      <c r="D131" s="193">
        <f t="shared" si="35"/>
        <v>9.1899999999999977</v>
      </c>
      <c r="E131" s="194">
        <f t="shared" si="36"/>
        <v>2.0076022369800764E-3</v>
      </c>
      <c r="G131" s="195">
        <f t="shared" si="37"/>
        <v>0</v>
      </c>
      <c r="H131" s="11"/>
      <c r="I131" s="11">
        <f t="shared" si="38"/>
        <v>0</v>
      </c>
      <c r="K131" s="213">
        <f t="shared" si="40"/>
        <v>0</v>
      </c>
      <c r="M131" s="130">
        <f t="shared" si="39"/>
        <v>0</v>
      </c>
      <c r="N131" s="197">
        <v>1.0215636706971645</v>
      </c>
      <c r="O131" s="140">
        <f t="shared" si="41"/>
        <v>0</v>
      </c>
    </row>
    <row r="132" spans="1:15" ht="15.75">
      <c r="B132" s="8" t="str">
        <f t="shared" si="35"/>
        <v>July</v>
      </c>
      <c r="C132">
        <f t="shared" si="35"/>
        <v>2015</v>
      </c>
      <c r="D132" s="193">
        <f t="shared" si="35"/>
        <v>0.46000000000000019</v>
      </c>
      <c r="E132" s="194">
        <f t="shared" si="36"/>
        <v>1.0048933939182108E-4</v>
      </c>
      <c r="G132" s="195">
        <f t="shared" si="37"/>
        <v>0</v>
      </c>
      <c r="H132" s="11"/>
      <c r="I132" s="11">
        <f t="shared" si="38"/>
        <v>0</v>
      </c>
      <c r="K132" s="213">
        <f t="shared" si="40"/>
        <v>0</v>
      </c>
      <c r="M132" s="130">
        <f t="shared" si="39"/>
        <v>0</v>
      </c>
      <c r="N132" s="197">
        <v>1.0160426197929209</v>
      </c>
      <c r="O132" s="140">
        <f t="shared" si="41"/>
        <v>0</v>
      </c>
    </row>
    <row r="133" spans="1:15" ht="15.75">
      <c r="B133" s="8" t="str">
        <f t="shared" si="35"/>
        <v>August</v>
      </c>
      <c r="C133">
        <f t="shared" si="35"/>
        <v>2015</v>
      </c>
      <c r="D133" s="193">
        <f t="shared" si="35"/>
        <v>1.6199999999999999</v>
      </c>
      <c r="E133" s="194">
        <f t="shared" si="36"/>
        <v>3.5389723872771754E-4</v>
      </c>
      <c r="G133" s="195">
        <f t="shared" si="37"/>
        <v>0</v>
      </c>
      <c r="H133" s="11"/>
      <c r="I133" s="11">
        <f t="shared" si="38"/>
        <v>0</v>
      </c>
      <c r="K133" s="213">
        <f t="shared" si="40"/>
        <v>0</v>
      </c>
      <c r="M133" s="130">
        <f t="shared" si="39"/>
        <v>0</v>
      </c>
      <c r="N133" s="197">
        <v>1.0158211697458406</v>
      </c>
      <c r="O133" s="140">
        <f t="shared" si="41"/>
        <v>0</v>
      </c>
    </row>
    <row r="134" spans="1:15" ht="15.75">
      <c r="B134" s="8" t="str">
        <f t="shared" si="35"/>
        <v>September</v>
      </c>
      <c r="C134">
        <f t="shared" si="35"/>
        <v>2015</v>
      </c>
      <c r="D134" s="193">
        <f t="shared" si="35"/>
        <v>53.36</v>
      </c>
      <c r="E134" s="194">
        <f t="shared" si="36"/>
        <v>1.1656763369451239E-2</v>
      </c>
      <c r="G134" s="195">
        <f t="shared" si="37"/>
        <v>0</v>
      </c>
      <c r="H134" s="11"/>
      <c r="I134" s="11">
        <f t="shared" si="38"/>
        <v>0</v>
      </c>
      <c r="K134" s="213">
        <f t="shared" si="40"/>
        <v>0</v>
      </c>
      <c r="M134" s="130">
        <f t="shared" si="39"/>
        <v>0</v>
      </c>
      <c r="N134" s="197">
        <v>1.0147430071695447</v>
      </c>
      <c r="O134" s="140">
        <f t="shared" si="41"/>
        <v>0</v>
      </c>
    </row>
    <row r="135" spans="1:15" ht="15.75">
      <c r="B135" s="8" t="str">
        <f t="shared" si="35"/>
        <v>October</v>
      </c>
      <c r="C135">
        <f t="shared" si="35"/>
        <v>2015</v>
      </c>
      <c r="D135" s="193">
        <f t="shared" si="35"/>
        <v>252.62999999999997</v>
      </c>
      <c r="E135" s="199">
        <f t="shared" si="36"/>
        <v>5.5188308283816837E-2</v>
      </c>
      <c r="F135" s="200"/>
      <c r="G135" s="201">
        <f t="shared" si="37"/>
        <v>0</v>
      </c>
      <c r="H135" s="203"/>
      <c r="I135" s="203">
        <f t="shared" si="38"/>
        <v>0</v>
      </c>
      <c r="J135" s="200"/>
      <c r="K135" s="226">
        <f t="shared" si="40"/>
        <v>0</v>
      </c>
      <c r="M135" s="130">
        <f t="shared" si="39"/>
        <v>0</v>
      </c>
      <c r="N135" s="197">
        <v>1.022179765904649</v>
      </c>
      <c r="O135" s="140">
        <f t="shared" si="41"/>
        <v>0</v>
      </c>
    </row>
    <row r="136" spans="1:15" ht="16.5" thickBot="1">
      <c r="B136" s="8" t="str">
        <f t="shared" si="35"/>
        <v>November</v>
      </c>
      <c r="C136">
        <f t="shared" si="35"/>
        <v>2015</v>
      </c>
      <c r="D136" s="193">
        <f t="shared" si="35"/>
        <v>570.6</v>
      </c>
      <c r="E136" s="194">
        <f>+D136/$D$137</f>
        <v>0.12465047186298496</v>
      </c>
      <c r="G136" s="195">
        <f>+E136*$G$137</f>
        <v>0</v>
      </c>
      <c r="H136" s="11"/>
      <c r="I136" s="11">
        <f>+G136+H136</f>
        <v>0</v>
      </c>
      <c r="K136" s="213">
        <v>0</v>
      </c>
      <c r="M136" s="130">
        <f>+K136*I136</f>
        <v>0</v>
      </c>
      <c r="N136" s="197">
        <v>1.0190466321243523</v>
      </c>
      <c r="O136" s="205">
        <f t="shared" si="41"/>
        <v>0</v>
      </c>
    </row>
    <row r="137" spans="1:15" ht="15.75" thickBot="1">
      <c r="D137" s="222">
        <f>SUM(D125:D136)</f>
        <v>4577.6000000000004</v>
      </c>
      <c r="E137" s="132">
        <f>SUM(E125:E136)</f>
        <v>0.99999999999999978</v>
      </c>
      <c r="G137" s="206"/>
      <c r="H137" s="207">
        <f>SUM(H125:H136)</f>
        <v>0</v>
      </c>
      <c r="I137" s="207">
        <f>SUM(I125:I136)</f>
        <v>0</v>
      </c>
      <c r="K137" s="10">
        <f>AVERAGE(K125:K136)</f>
        <v>0</v>
      </c>
      <c r="M137" s="209">
        <f>SUM(M125:M136)</f>
        <v>0</v>
      </c>
      <c r="O137" s="209">
        <f>SUM(O125:O136)</f>
        <v>0</v>
      </c>
    </row>
    <row r="138" spans="1:15" ht="15.75" thickTop="1">
      <c r="D138" s="171"/>
      <c r="E138" s="171"/>
      <c r="G138" s="195">
        <f>SUM(G125:G136)</f>
        <v>0</v>
      </c>
      <c r="K138" s="5" t="s">
        <v>27</v>
      </c>
    </row>
    <row r="139" spans="1:15">
      <c r="D139" s="171"/>
      <c r="E139" s="171"/>
      <c r="G139" s="195"/>
      <c r="K139" s="5"/>
    </row>
    <row r="140" spans="1:15" ht="12.75" customHeight="1">
      <c r="A140" s="133" t="s">
        <v>90</v>
      </c>
      <c r="B140" s="336" t="s">
        <v>175</v>
      </c>
      <c r="C140" s="336"/>
      <c r="D140" s="336"/>
      <c r="E140" s="336"/>
      <c r="F140" s="336"/>
      <c r="G140" s="336"/>
      <c r="H140" s="336"/>
      <c r="I140" s="336"/>
      <c r="J140" s="336"/>
      <c r="K140" s="336"/>
      <c r="L140" s="336"/>
      <c r="M140" s="336"/>
    </row>
    <row r="141" spans="1:15">
      <c r="A141" s="133"/>
      <c r="B141" s="218" t="s">
        <v>235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</row>
    <row r="142" spans="1:15"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</row>
  </sheetData>
  <mergeCells count="11">
    <mergeCell ref="D98:E98"/>
    <mergeCell ref="D119:E119"/>
    <mergeCell ref="D120:E120"/>
    <mergeCell ref="B140:M140"/>
    <mergeCell ref="D6:E6"/>
    <mergeCell ref="D29:E29"/>
    <mergeCell ref="D53:E53"/>
    <mergeCell ref="D54:E54"/>
    <mergeCell ref="D76:E76"/>
    <mergeCell ref="D77:E77"/>
    <mergeCell ref="D97:E97"/>
  </mergeCells>
  <phoneticPr fontId="6" type="noConversion"/>
  <pageMargins left="0.7" right="0.7" top="0.75" bottom="0.75" header="0.3" footer="0.3"/>
  <pageSetup scale="63" fitToHeight="2" orientation="portrait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workbookViewId="0">
      <selection activeCell="P23" sqref="P23"/>
    </sheetView>
  </sheetViews>
  <sheetFormatPr defaultRowHeight="15"/>
  <cols>
    <col min="1" max="1" width="11.140625" bestFit="1" customWidth="1"/>
    <col min="2" max="2" width="11" customWidth="1"/>
    <col min="5" max="6" width="10.5703125" bestFit="1" customWidth="1"/>
    <col min="7" max="7" width="3.5703125" customWidth="1"/>
    <col min="8" max="8" width="10.5703125" bestFit="1" customWidth="1"/>
    <col min="9" max="9" width="10.85546875" customWidth="1"/>
    <col min="10" max="11" width="9.5703125" bestFit="1" customWidth="1"/>
    <col min="13" max="13" width="12.28515625" customWidth="1"/>
    <col min="14" max="14" width="12.28515625" style="171" customWidth="1"/>
    <col min="15" max="15" width="10.85546875" bestFit="1" customWidth="1"/>
    <col min="16" max="16" width="12.42578125" customWidth="1"/>
    <col min="17" max="17" width="11.42578125" customWidth="1"/>
    <col min="18" max="18" width="8.7109375" customWidth="1"/>
  </cols>
  <sheetData>
    <row r="1" spans="1:17" ht="19.5" thickBot="1">
      <c r="A1" s="343" t="s">
        <v>234</v>
      </c>
      <c r="B1" s="343"/>
      <c r="C1" s="343"/>
      <c r="D1" s="343"/>
      <c r="E1" s="343"/>
      <c r="F1" s="343"/>
      <c r="H1" s="343" t="s">
        <v>208</v>
      </c>
      <c r="I1" s="343"/>
      <c r="J1" s="343"/>
      <c r="K1" s="343"/>
      <c r="L1" s="343"/>
      <c r="M1" s="343"/>
      <c r="N1" s="270"/>
    </row>
    <row r="2" spans="1:17" ht="15.75" thickBot="1">
      <c r="A2" s="291"/>
      <c r="B2" s="36"/>
      <c r="P2" s="339" t="s">
        <v>209</v>
      </c>
      <c r="Q2" s="340"/>
    </row>
    <row r="3" spans="1:17" ht="15.75" thickBot="1">
      <c r="A3" s="347" t="s">
        <v>233</v>
      </c>
      <c r="B3" s="348"/>
      <c r="C3" s="261">
        <f>'Delivery Rates'!F6</f>
        <v>1.14E-2</v>
      </c>
      <c r="D3" s="260">
        <f>'Delivery Rates'!F5</f>
        <v>1.2999999999999999E-2</v>
      </c>
      <c r="H3" s="344" t="s">
        <v>201</v>
      </c>
      <c r="I3" s="345"/>
      <c r="J3" s="261">
        <f>'Delivery Rates'!F6</f>
        <v>1.14E-2</v>
      </c>
      <c r="K3" s="260">
        <f>'Delivery Rates'!F5</f>
        <v>1.2999999999999999E-2</v>
      </c>
      <c r="P3" s="341"/>
      <c r="Q3" s="342"/>
    </row>
    <row r="4" spans="1:17" ht="15.75" thickBot="1">
      <c r="C4" s="266">
        <f>1-C3</f>
        <v>0.98860000000000003</v>
      </c>
      <c r="D4" s="266">
        <f>1-D3</f>
        <v>0.98699999999999999</v>
      </c>
      <c r="E4" s="250" t="s">
        <v>4</v>
      </c>
      <c r="F4" s="255" t="s">
        <v>4</v>
      </c>
      <c r="J4" s="266">
        <f>1-J3</f>
        <v>0.98860000000000003</v>
      </c>
      <c r="K4" s="266">
        <f>1-K3</f>
        <v>0.98699999999999999</v>
      </c>
      <c r="L4" s="250" t="s">
        <v>4</v>
      </c>
      <c r="M4" s="255" t="s">
        <v>4</v>
      </c>
      <c r="N4" s="271"/>
      <c r="P4" s="250" t="s">
        <v>4</v>
      </c>
      <c r="Q4" s="255" t="s">
        <v>4</v>
      </c>
    </row>
    <row r="5" spans="1:17" s="36" customFormat="1" ht="15.75" thickBot="1">
      <c r="A5" s="36" t="s">
        <v>97</v>
      </c>
      <c r="B5" s="36" t="s">
        <v>202</v>
      </c>
      <c r="C5" s="267" t="s">
        <v>199</v>
      </c>
      <c r="D5" s="268" t="s">
        <v>200</v>
      </c>
      <c r="E5" s="251" t="s">
        <v>199</v>
      </c>
      <c r="F5" s="256" t="s">
        <v>200</v>
      </c>
      <c r="H5" s="36" t="s">
        <v>97</v>
      </c>
      <c r="I5" s="269" t="s">
        <v>206</v>
      </c>
      <c r="J5" s="267" t="s">
        <v>199</v>
      </c>
      <c r="K5" s="268" t="s">
        <v>200</v>
      </c>
      <c r="L5" s="251" t="s">
        <v>199</v>
      </c>
      <c r="M5" s="256" t="s">
        <v>200</v>
      </c>
      <c r="N5" s="271"/>
      <c r="O5" s="36" t="s">
        <v>97</v>
      </c>
      <c r="P5" s="276" t="s">
        <v>199</v>
      </c>
      <c r="Q5" s="277" t="s">
        <v>200</v>
      </c>
    </row>
    <row r="6" spans="1:17">
      <c r="A6" t="s">
        <v>26</v>
      </c>
      <c r="B6">
        <v>854</v>
      </c>
      <c r="C6" s="262">
        <f>ROUND(B6/$C$4,0)</f>
        <v>864</v>
      </c>
      <c r="D6" s="264">
        <f>ROUND(C6/$D$4,0)</f>
        <v>875</v>
      </c>
      <c r="E6" s="252">
        <f>C6*30</f>
        <v>25920</v>
      </c>
      <c r="F6" s="257">
        <f>D6*30</f>
        <v>26250</v>
      </c>
      <c r="H6" t="s">
        <v>26</v>
      </c>
      <c r="I6" s="140">
        <f>1007+578</f>
        <v>1585</v>
      </c>
      <c r="J6" s="253">
        <f>ROUND(I6/$C$4,0)</f>
        <v>1603</v>
      </c>
      <c r="K6" s="258">
        <f>ROUND(J6/$D$4,0)</f>
        <v>1624</v>
      </c>
      <c r="L6" s="252">
        <f>J6*30</f>
        <v>48090</v>
      </c>
      <c r="M6" s="257">
        <f>K6*30</f>
        <v>48720</v>
      </c>
      <c r="N6" s="198"/>
      <c r="O6" t="s">
        <v>26</v>
      </c>
      <c r="P6" s="274">
        <f>E6+L6</f>
        <v>74010</v>
      </c>
      <c r="Q6" s="275">
        <f>F6+M6</f>
        <v>74970</v>
      </c>
    </row>
    <row r="7" spans="1:17">
      <c r="A7" t="s">
        <v>15</v>
      </c>
      <c r="B7">
        <v>869</v>
      </c>
      <c r="C7" s="262">
        <f t="shared" ref="C7:C17" si="0">ROUND(B7/$C$4,0)</f>
        <v>879</v>
      </c>
      <c r="D7" s="264">
        <f t="shared" ref="D7:D17" si="1">ROUND(C7/$D$4,0)</f>
        <v>891</v>
      </c>
      <c r="E7" s="253">
        <f>C7*31</f>
        <v>27249</v>
      </c>
      <c r="F7" s="258">
        <f>D7*31</f>
        <v>27621</v>
      </c>
      <c r="H7" t="s">
        <v>15</v>
      </c>
      <c r="I7" s="140">
        <f>928+687</f>
        <v>1615</v>
      </c>
      <c r="J7" s="253">
        <f t="shared" ref="J7:J17" si="2">ROUND(I7/$C$4,0)</f>
        <v>1634</v>
      </c>
      <c r="K7" s="258">
        <f t="shared" ref="K7:K17" si="3">ROUND(J7/$D$4,0)</f>
        <v>1656</v>
      </c>
      <c r="L7" s="253">
        <f>J7*31</f>
        <v>50654</v>
      </c>
      <c r="M7" s="258">
        <f>K7*31</f>
        <v>51336</v>
      </c>
      <c r="N7" s="198"/>
      <c r="O7" t="s">
        <v>15</v>
      </c>
      <c r="P7" s="278">
        <f t="shared" ref="P7:P17" si="4">E7+L7</f>
        <v>77903</v>
      </c>
      <c r="Q7" s="280">
        <f t="shared" ref="Q7:Q17" si="5">F7+M7</f>
        <v>78957</v>
      </c>
    </row>
    <row r="8" spans="1:17">
      <c r="A8" t="s">
        <v>16</v>
      </c>
      <c r="B8">
        <v>1220</v>
      </c>
      <c r="C8" s="262">
        <f t="shared" si="0"/>
        <v>1234</v>
      </c>
      <c r="D8" s="264">
        <f t="shared" si="1"/>
        <v>1250</v>
      </c>
      <c r="E8" s="253">
        <f>C8*31</f>
        <v>38254</v>
      </c>
      <c r="F8" s="258">
        <f>D8*31</f>
        <v>38750</v>
      </c>
      <c r="H8" t="s">
        <v>16</v>
      </c>
      <c r="I8" s="140">
        <f>1024+1010</f>
        <v>2034</v>
      </c>
      <c r="J8" s="253">
        <f t="shared" si="2"/>
        <v>2057</v>
      </c>
      <c r="K8" s="258">
        <f t="shared" si="3"/>
        <v>2084</v>
      </c>
      <c r="L8" s="253">
        <f>J8*31</f>
        <v>63767</v>
      </c>
      <c r="M8" s="258">
        <f>K8*31</f>
        <v>64604</v>
      </c>
      <c r="N8" s="198"/>
      <c r="O8" t="s">
        <v>16</v>
      </c>
      <c r="P8" s="278">
        <f t="shared" si="4"/>
        <v>102021</v>
      </c>
      <c r="Q8" s="280">
        <f t="shared" si="5"/>
        <v>103354</v>
      </c>
    </row>
    <row r="9" spans="1:17">
      <c r="A9" t="s">
        <v>17</v>
      </c>
      <c r="B9">
        <v>1260</v>
      </c>
      <c r="C9" s="262">
        <f t="shared" si="0"/>
        <v>1275</v>
      </c>
      <c r="D9" s="264">
        <f t="shared" si="1"/>
        <v>1292</v>
      </c>
      <c r="E9" s="253">
        <f>C9*28</f>
        <v>35700</v>
      </c>
      <c r="F9" s="258">
        <f>D9*28</f>
        <v>36176</v>
      </c>
      <c r="H9" t="s">
        <v>17</v>
      </c>
      <c r="I9" s="140">
        <f>1170+925</f>
        <v>2095</v>
      </c>
      <c r="J9" s="253">
        <f t="shared" si="2"/>
        <v>2119</v>
      </c>
      <c r="K9" s="258">
        <f t="shared" si="3"/>
        <v>2147</v>
      </c>
      <c r="L9" s="253">
        <f>J9*28</f>
        <v>59332</v>
      </c>
      <c r="M9" s="258">
        <f>K9*28</f>
        <v>60116</v>
      </c>
      <c r="N9" s="198"/>
      <c r="O9" t="s">
        <v>17</v>
      </c>
      <c r="P9" s="278">
        <f t="shared" si="4"/>
        <v>95032</v>
      </c>
      <c r="Q9" s="280">
        <f t="shared" si="5"/>
        <v>96292</v>
      </c>
    </row>
    <row r="10" spans="1:17">
      <c r="A10" t="s">
        <v>18</v>
      </c>
      <c r="B10">
        <v>868</v>
      </c>
      <c r="C10" s="262">
        <f t="shared" si="0"/>
        <v>878</v>
      </c>
      <c r="D10" s="264">
        <f t="shared" si="1"/>
        <v>890</v>
      </c>
      <c r="E10" s="253">
        <f>C10*31</f>
        <v>27218</v>
      </c>
      <c r="F10" s="258">
        <f>D10*31</f>
        <v>27590</v>
      </c>
      <c r="H10" t="s">
        <v>18</v>
      </c>
      <c r="I10" s="140">
        <f>965+689</f>
        <v>1654</v>
      </c>
      <c r="J10" s="253">
        <f t="shared" si="2"/>
        <v>1673</v>
      </c>
      <c r="K10" s="258">
        <f t="shared" si="3"/>
        <v>1695</v>
      </c>
      <c r="L10" s="253">
        <f>J10*31</f>
        <v>51863</v>
      </c>
      <c r="M10" s="258">
        <f>K10*31</f>
        <v>52545</v>
      </c>
      <c r="N10" s="198"/>
      <c r="O10" t="s">
        <v>18</v>
      </c>
      <c r="P10" s="278">
        <f t="shared" si="4"/>
        <v>79081</v>
      </c>
      <c r="Q10" s="280">
        <f t="shared" si="5"/>
        <v>80135</v>
      </c>
    </row>
    <row r="11" spans="1:17">
      <c r="A11" t="s">
        <v>19</v>
      </c>
      <c r="B11">
        <v>488</v>
      </c>
      <c r="C11" s="262">
        <f t="shared" si="0"/>
        <v>494</v>
      </c>
      <c r="D11" s="264">
        <f t="shared" si="1"/>
        <v>501</v>
      </c>
      <c r="E11" s="253">
        <f>C11*30</f>
        <v>14820</v>
      </c>
      <c r="F11" s="258">
        <f>D11*30</f>
        <v>15030</v>
      </c>
      <c r="H11" t="s">
        <v>19</v>
      </c>
      <c r="I11" s="140">
        <f>868+773</f>
        <v>1641</v>
      </c>
      <c r="J11" s="253">
        <f t="shared" si="2"/>
        <v>1660</v>
      </c>
      <c r="K11" s="258">
        <f t="shared" si="3"/>
        <v>1682</v>
      </c>
      <c r="L11" s="253">
        <f>J11*30</f>
        <v>49800</v>
      </c>
      <c r="M11" s="258">
        <f>K11*30</f>
        <v>50460</v>
      </c>
      <c r="N11" s="198"/>
      <c r="O11" t="s">
        <v>19</v>
      </c>
      <c r="P11" s="278">
        <f t="shared" si="4"/>
        <v>64620</v>
      </c>
      <c r="Q11" s="280">
        <f t="shared" si="5"/>
        <v>65490</v>
      </c>
    </row>
    <row r="12" spans="1:17">
      <c r="A12" t="s">
        <v>20</v>
      </c>
      <c r="B12">
        <v>149</v>
      </c>
      <c r="C12" s="262">
        <f t="shared" si="0"/>
        <v>151</v>
      </c>
      <c r="D12" s="264">
        <f t="shared" si="1"/>
        <v>153</v>
      </c>
      <c r="E12" s="253">
        <f>C12*31</f>
        <v>4681</v>
      </c>
      <c r="F12" s="258">
        <f>D12*31</f>
        <v>4743</v>
      </c>
      <c r="H12" t="s">
        <v>20</v>
      </c>
      <c r="I12" s="140">
        <f>1128+439</f>
        <v>1567</v>
      </c>
      <c r="J12" s="253">
        <f t="shared" si="2"/>
        <v>1585</v>
      </c>
      <c r="K12" s="258">
        <f t="shared" si="3"/>
        <v>1606</v>
      </c>
      <c r="L12" s="253">
        <f>J12*31</f>
        <v>49135</v>
      </c>
      <c r="M12" s="258">
        <f>K12*31</f>
        <v>49786</v>
      </c>
      <c r="N12" s="198"/>
      <c r="O12" t="s">
        <v>20</v>
      </c>
      <c r="P12" s="278">
        <f t="shared" si="4"/>
        <v>53816</v>
      </c>
      <c r="Q12" s="280">
        <f t="shared" si="5"/>
        <v>54529</v>
      </c>
    </row>
    <row r="13" spans="1:17">
      <c r="A13" t="s">
        <v>21</v>
      </c>
      <c r="B13">
        <v>5</v>
      </c>
      <c r="C13" s="262">
        <f t="shared" si="0"/>
        <v>5</v>
      </c>
      <c r="D13" s="264">
        <f t="shared" si="1"/>
        <v>5</v>
      </c>
      <c r="E13" s="253">
        <f>C13*30</f>
        <v>150</v>
      </c>
      <c r="F13" s="258">
        <f>D13*30</f>
        <v>150</v>
      </c>
      <c r="H13" t="s">
        <v>21</v>
      </c>
      <c r="I13" s="140">
        <f>1157+505</f>
        <v>1662</v>
      </c>
      <c r="J13" s="253">
        <f t="shared" si="2"/>
        <v>1681</v>
      </c>
      <c r="K13" s="258">
        <f t="shared" si="3"/>
        <v>1703</v>
      </c>
      <c r="L13" s="253">
        <f>J13*30</f>
        <v>50430</v>
      </c>
      <c r="M13" s="258">
        <f>K13*30</f>
        <v>51090</v>
      </c>
      <c r="N13" s="198"/>
      <c r="O13" t="s">
        <v>21</v>
      </c>
      <c r="P13" s="278">
        <f t="shared" si="4"/>
        <v>50580</v>
      </c>
      <c r="Q13" s="280">
        <f t="shared" si="5"/>
        <v>51240</v>
      </c>
    </row>
    <row r="14" spans="1:17">
      <c r="A14" t="s">
        <v>22</v>
      </c>
      <c r="B14">
        <v>15</v>
      </c>
      <c r="C14" s="262">
        <f t="shared" si="0"/>
        <v>15</v>
      </c>
      <c r="D14" s="264">
        <f t="shared" si="1"/>
        <v>15</v>
      </c>
      <c r="E14" s="253">
        <f>C14*31</f>
        <v>465</v>
      </c>
      <c r="F14" s="258">
        <f>D14*31</f>
        <v>465</v>
      </c>
      <c r="H14" t="s">
        <v>22</v>
      </c>
      <c r="I14" s="140">
        <f>1131+246</f>
        <v>1377</v>
      </c>
      <c r="J14" s="253">
        <f t="shared" si="2"/>
        <v>1393</v>
      </c>
      <c r="K14" s="258">
        <f t="shared" si="3"/>
        <v>1411</v>
      </c>
      <c r="L14" s="253">
        <f>J14*31</f>
        <v>43183</v>
      </c>
      <c r="M14" s="258">
        <f>K14*31</f>
        <v>43741</v>
      </c>
      <c r="N14" s="198"/>
      <c r="O14" t="s">
        <v>22</v>
      </c>
      <c r="P14" s="278">
        <f t="shared" si="4"/>
        <v>43648</v>
      </c>
      <c r="Q14" s="280">
        <f t="shared" si="5"/>
        <v>44206</v>
      </c>
    </row>
    <row r="15" spans="1:17">
      <c r="A15" t="s">
        <v>23</v>
      </c>
      <c r="B15">
        <v>31</v>
      </c>
      <c r="C15" s="262">
        <f t="shared" si="0"/>
        <v>31</v>
      </c>
      <c r="D15" s="264">
        <f t="shared" si="1"/>
        <v>31</v>
      </c>
      <c r="E15" s="253">
        <f>C15*31</f>
        <v>961</v>
      </c>
      <c r="F15" s="258">
        <f>D15*31</f>
        <v>961</v>
      </c>
      <c r="H15" t="s">
        <v>23</v>
      </c>
      <c r="I15" s="140">
        <f>1030+388</f>
        <v>1418</v>
      </c>
      <c r="J15" s="253">
        <f t="shared" si="2"/>
        <v>1434</v>
      </c>
      <c r="K15" s="258">
        <f t="shared" si="3"/>
        <v>1453</v>
      </c>
      <c r="L15" s="253">
        <f>J15*31</f>
        <v>44454</v>
      </c>
      <c r="M15" s="258">
        <f>K15*31</f>
        <v>45043</v>
      </c>
      <c r="N15" s="198"/>
      <c r="O15" t="s">
        <v>23</v>
      </c>
      <c r="P15" s="278">
        <f t="shared" si="4"/>
        <v>45415</v>
      </c>
      <c r="Q15" s="280">
        <f t="shared" si="5"/>
        <v>46004</v>
      </c>
    </row>
    <row r="16" spans="1:17">
      <c r="A16" t="s">
        <v>24</v>
      </c>
      <c r="B16">
        <v>39</v>
      </c>
      <c r="C16" s="262">
        <f t="shared" si="0"/>
        <v>39</v>
      </c>
      <c r="D16" s="264">
        <f t="shared" si="1"/>
        <v>40</v>
      </c>
      <c r="E16" s="253">
        <f>C16*30</f>
        <v>1170</v>
      </c>
      <c r="F16" s="258">
        <f>D16*30</f>
        <v>1200</v>
      </c>
      <c r="H16" t="s">
        <v>24</v>
      </c>
      <c r="I16" s="140">
        <f>1157+505</f>
        <v>1662</v>
      </c>
      <c r="J16" s="253">
        <f t="shared" si="2"/>
        <v>1681</v>
      </c>
      <c r="K16" s="258">
        <f t="shared" si="3"/>
        <v>1703</v>
      </c>
      <c r="L16" s="253">
        <f>J16*30</f>
        <v>50430</v>
      </c>
      <c r="M16" s="258">
        <f>K16*30</f>
        <v>51090</v>
      </c>
      <c r="N16" s="198"/>
      <c r="O16" t="s">
        <v>24</v>
      </c>
      <c r="P16" s="278">
        <f t="shared" si="4"/>
        <v>51600</v>
      </c>
      <c r="Q16" s="280">
        <f t="shared" si="5"/>
        <v>52290</v>
      </c>
    </row>
    <row r="17" spans="1:17" ht="15.75" thickBot="1">
      <c r="A17" t="s">
        <v>25</v>
      </c>
      <c r="B17">
        <v>214</v>
      </c>
      <c r="C17" s="263">
        <f t="shared" si="0"/>
        <v>216</v>
      </c>
      <c r="D17" s="265">
        <f t="shared" si="1"/>
        <v>219</v>
      </c>
      <c r="E17" s="254">
        <f>C17*31</f>
        <v>6696</v>
      </c>
      <c r="F17" s="259">
        <f>D17*31</f>
        <v>6789</v>
      </c>
      <c r="H17" t="s">
        <v>25</v>
      </c>
      <c r="I17" s="140">
        <f>1058+511</f>
        <v>1569</v>
      </c>
      <c r="J17" s="254">
        <f t="shared" si="2"/>
        <v>1587</v>
      </c>
      <c r="K17" s="259">
        <f t="shared" si="3"/>
        <v>1608</v>
      </c>
      <c r="L17" s="254">
        <f>J17*31</f>
        <v>49197</v>
      </c>
      <c r="M17" s="259">
        <f>K17*31</f>
        <v>49848</v>
      </c>
      <c r="N17" s="198"/>
      <c r="O17" t="s">
        <v>25</v>
      </c>
      <c r="P17" s="279">
        <f t="shared" si="4"/>
        <v>55893</v>
      </c>
      <c r="Q17" s="281">
        <f t="shared" si="5"/>
        <v>56637</v>
      </c>
    </row>
    <row r="18" spans="1:17">
      <c r="I18" s="140"/>
      <c r="J18" s="140"/>
      <c r="K18" s="140"/>
      <c r="O18" s="282" t="s">
        <v>182</v>
      </c>
      <c r="P18" s="12">
        <f>SUM(P6:P17)</f>
        <v>793619</v>
      </c>
      <c r="Q18" s="12">
        <f>SUM(Q6:Q17)</f>
        <v>804104</v>
      </c>
    </row>
    <row r="19" spans="1:17">
      <c r="A19" s="14" t="s">
        <v>90</v>
      </c>
      <c r="B19" s="346" t="s">
        <v>203</v>
      </c>
      <c r="C19" s="346"/>
      <c r="D19" s="346"/>
      <c r="E19" s="346"/>
      <c r="F19" s="346"/>
      <c r="H19" s="14" t="s">
        <v>90</v>
      </c>
      <c r="I19" s="346" t="s">
        <v>205</v>
      </c>
      <c r="J19" s="346"/>
      <c r="K19" s="346"/>
      <c r="L19" s="346"/>
      <c r="M19" s="346"/>
      <c r="N19" s="272"/>
    </row>
    <row r="20" spans="1:17">
      <c r="B20" s="338" t="s">
        <v>204</v>
      </c>
      <c r="C20" s="338"/>
      <c r="D20" s="338"/>
      <c r="E20" s="338"/>
      <c r="F20" s="338"/>
      <c r="I20" s="338" t="s">
        <v>207</v>
      </c>
      <c r="J20" s="338"/>
      <c r="K20" s="338"/>
      <c r="L20" s="338"/>
      <c r="M20" s="338"/>
      <c r="N20" s="273"/>
    </row>
    <row r="21" spans="1:17">
      <c r="I21" s="338" t="s">
        <v>210</v>
      </c>
      <c r="J21" s="338"/>
      <c r="K21" s="338"/>
      <c r="L21" s="338"/>
      <c r="M21" s="338"/>
    </row>
    <row r="22" spans="1:17">
      <c r="I22" t="s">
        <v>211</v>
      </c>
    </row>
  </sheetData>
  <mergeCells count="10">
    <mergeCell ref="I20:M20"/>
    <mergeCell ref="P2:Q3"/>
    <mergeCell ref="I21:M21"/>
    <mergeCell ref="A1:F1"/>
    <mergeCell ref="H1:M1"/>
    <mergeCell ref="H3:I3"/>
    <mergeCell ref="I19:M19"/>
    <mergeCell ref="A3:B3"/>
    <mergeCell ref="B20:F20"/>
    <mergeCell ref="B19:F19"/>
  </mergeCells>
  <phoneticPr fontId="6" type="noConversion"/>
  <pageMargins left="0.75" right="0.75" top="1" bottom="1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14" sqref="E14"/>
    </sheetView>
  </sheetViews>
  <sheetFormatPr defaultRowHeight="15"/>
  <cols>
    <col min="1" max="1" width="12.85546875" bestFit="1" customWidth="1"/>
    <col min="2" max="2" width="9.5703125" bestFit="1" customWidth="1"/>
    <col min="3" max="3" width="14.28515625" bestFit="1" customWidth="1"/>
    <col min="4" max="4" width="12.5703125" bestFit="1" customWidth="1"/>
    <col min="5" max="5" width="11.5703125" bestFit="1" customWidth="1"/>
  </cols>
  <sheetData>
    <row r="1" spans="1:5" ht="18.75">
      <c r="A1" s="343" t="s">
        <v>238</v>
      </c>
      <c r="B1" s="343"/>
      <c r="C1" s="343"/>
      <c r="D1" s="343"/>
      <c r="E1" s="343"/>
    </row>
    <row r="2" spans="1:5">
      <c r="A2" s="291" t="s">
        <v>217</v>
      </c>
      <c r="B2" s="36" t="s">
        <v>218</v>
      </c>
      <c r="C2" s="36" t="s">
        <v>221</v>
      </c>
    </row>
    <row r="3" spans="1:5">
      <c r="A3" s="36" t="s">
        <v>220</v>
      </c>
      <c r="B3" s="36" t="s">
        <v>219</v>
      </c>
      <c r="C3" s="36" t="s">
        <v>222</v>
      </c>
    </row>
    <row r="4" spans="1:5">
      <c r="A4" s="140">
        <v>247976</v>
      </c>
      <c r="B4" s="168">
        <v>4.1909999999999998</v>
      </c>
      <c r="C4" s="169">
        <f>A4*B4</f>
        <v>1039267.416</v>
      </c>
    </row>
    <row r="6" spans="1:5">
      <c r="A6" s="352" t="s">
        <v>239</v>
      </c>
      <c r="B6" s="352"/>
      <c r="C6" s="352"/>
      <c r="D6" s="352"/>
    </row>
    <row r="8" spans="1:5">
      <c r="A8" s="36" t="s">
        <v>223</v>
      </c>
      <c r="B8" s="36" t="s">
        <v>225</v>
      </c>
      <c r="C8" s="36" t="s">
        <v>226</v>
      </c>
      <c r="D8" s="36" t="s">
        <v>228</v>
      </c>
    </row>
    <row r="9" spans="1:5">
      <c r="A9" s="36" t="s">
        <v>224</v>
      </c>
      <c r="B9" s="36" t="s">
        <v>224</v>
      </c>
      <c r="C9" s="36" t="s">
        <v>227</v>
      </c>
      <c r="D9" s="36" t="s">
        <v>229</v>
      </c>
    </row>
    <row r="10" spans="1:5">
      <c r="A10" s="140">
        <v>1700</v>
      </c>
      <c r="B10" s="140">
        <v>1606</v>
      </c>
      <c r="C10" s="168">
        <v>3.7650000000000001</v>
      </c>
      <c r="D10" s="169">
        <f>(A10*31)*C10</f>
        <v>198415.5</v>
      </c>
    </row>
    <row r="12" spans="1:5">
      <c r="A12" s="349" t="s">
        <v>230</v>
      </c>
      <c r="B12" s="350"/>
      <c r="C12" s="350"/>
      <c r="D12" s="351"/>
      <c r="E12" s="293">
        <f>C4+D10</f>
        <v>1237682.916</v>
      </c>
    </row>
    <row r="13" spans="1:5">
      <c r="A13" s="349" t="s">
        <v>232</v>
      </c>
      <c r="B13" s="350"/>
      <c r="C13" s="350"/>
      <c r="D13" s="351"/>
      <c r="E13" s="294">
        <f>A4+(31*B10)</f>
        <v>297762</v>
      </c>
    </row>
    <row r="14" spans="1:5">
      <c r="A14" s="349" t="s">
        <v>231</v>
      </c>
      <c r="B14" s="350"/>
      <c r="C14" s="350"/>
      <c r="D14" s="351"/>
      <c r="E14" s="295">
        <f>E12/E13</f>
        <v>4.1566180909585508</v>
      </c>
    </row>
  </sheetData>
  <mergeCells count="5">
    <mergeCell ref="A14:D14"/>
    <mergeCell ref="A1:E1"/>
    <mergeCell ref="A6:D6"/>
    <mergeCell ref="A12:D12"/>
    <mergeCell ref="A13:D13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  <pageSetUpPr fitToPage="1"/>
  </sheetPr>
  <dimension ref="A1:Q87"/>
  <sheetViews>
    <sheetView zoomScale="75" zoomScaleNormal="75" workbookViewId="0">
      <pane xSplit="1" ySplit="6" topLeftCell="B61" activePane="bottomRight" state="frozen"/>
      <selection activeCell="D11" sqref="D11"/>
      <selection pane="topRight" activeCell="D11" sqref="D11"/>
      <selection pane="bottomLeft" activeCell="D11" sqref="D11"/>
      <selection pane="bottomRight" activeCell="B76" sqref="B76"/>
    </sheetView>
  </sheetViews>
  <sheetFormatPr defaultRowHeight="15"/>
  <cols>
    <col min="1" max="1" width="76.85546875" bestFit="1" customWidth="1"/>
    <col min="2" max="2" width="17.5703125" bestFit="1" customWidth="1"/>
    <col min="3" max="4" width="17.85546875" bestFit="1" customWidth="1"/>
    <col min="5" max="7" width="15.5703125" bestFit="1" customWidth="1"/>
    <col min="8" max="8" width="15.28515625" bestFit="1" customWidth="1"/>
    <col min="9" max="9" width="15.5703125" bestFit="1" customWidth="1"/>
    <col min="10" max="13" width="12.7109375" bestFit="1" customWidth="1"/>
    <col min="14" max="14" width="12.85546875" style="147" customWidth="1"/>
    <col min="15" max="15" width="3" customWidth="1"/>
    <col min="16" max="16" width="12.7109375" bestFit="1" customWidth="1"/>
    <col min="17" max="17" width="11.5703125" bestFit="1" customWidth="1"/>
  </cols>
  <sheetData>
    <row r="1" spans="1:17" ht="41.25">
      <c r="A1" s="354" t="s">
        <v>168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7" ht="31.5">
      <c r="A2" s="357" t="s">
        <v>178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7" ht="21" customHeight="1">
      <c r="A3" s="358" t="s">
        <v>135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5" spans="1:17" ht="22.5">
      <c r="A5" s="353" t="s">
        <v>156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</row>
    <row r="6" spans="1:17" s="36" customFormat="1">
      <c r="A6" s="38" t="s">
        <v>38</v>
      </c>
      <c r="B6" s="39">
        <v>41974</v>
      </c>
      <c r="C6" s="39">
        <v>42005</v>
      </c>
      <c r="D6" s="39">
        <v>42036</v>
      </c>
      <c r="E6" s="39">
        <v>42064</v>
      </c>
      <c r="F6" s="39">
        <v>42095</v>
      </c>
      <c r="G6" s="39">
        <v>42125</v>
      </c>
      <c r="H6" s="39">
        <v>42156</v>
      </c>
      <c r="I6" s="39">
        <v>42186</v>
      </c>
      <c r="J6" s="39">
        <v>42217</v>
      </c>
      <c r="K6" s="39">
        <v>42248</v>
      </c>
      <c r="L6" s="39">
        <v>42278</v>
      </c>
      <c r="M6" s="39">
        <v>42309</v>
      </c>
      <c r="N6" s="38" t="s">
        <v>36</v>
      </c>
      <c r="P6" s="123" t="s">
        <v>139</v>
      </c>
      <c r="Q6" s="36" t="s">
        <v>193</v>
      </c>
    </row>
    <row r="7" spans="1:17">
      <c r="A7" s="40" t="s">
        <v>39</v>
      </c>
      <c r="B7" s="41">
        <f>'Monthly Usage - Rogersville'!M12+'Monthly Usage - Branson'!M11</f>
        <v>65010.03205013847</v>
      </c>
      <c r="C7" s="41">
        <f>'Monthly Usage - Rogersville'!M13+'Monthly Usage - Branson'!M12</f>
        <v>70378.128086691155</v>
      </c>
      <c r="D7" s="41">
        <f>'Monthly Usage - Rogersville'!M14+'Monthly Usage - Branson'!M13</f>
        <v>56446.783264207988</v>
      </c>
      <c r="E7" s="41">
        <f>'Monthly Usage - Rogersville'!M15+'Monthly Usage - Branson'!M14</f>
        <v>43611.127367510067</v>
      </c>
      <c r="F7" s="41">
        <f>'Monthly Usage - Rogersville'!M16+'Monthly Usage - Branson'!M15</f>
        <v>25484.417157712345</v>
      </c>
      <c r="G7" s="41">
        <f>'Monthly Usage - Rogersville'!M17+'Monthly Usage - Branson'!M16</f>
        <v>11884.231653574587</v>
      </c>
      <c r="H7" s="41">
        <f>'Monthly Usage - Rogersville'!M18+'Monthly Usage - Branson'!M17</f>
        <v>6207.0235281827809</v>
      </c>
      <c r="I7" s="41">
        <f>'Monthly Usage - Rogersville'!M19+'Monthly Usage - Branson'!M18</f>
        <v>5575.1799430389183</v>
      </c>
      <c r="J7" s="41">
        <f>'Monthly Usage - Rogersville'!M20+'Monthly Usage - Branson'!M19</f>
        <v>5635.5769286630139</v>
      </c>
      <c r="K7" s="41">
        <f>'Monthly Usage - Rogersville'!M21+'Monthly Usage - Branson'!M20</f>
        <v>8535.4525098722206</v>
      </c>
      <c r="L7" s="41">
        <f>'Monthly Usage - Rogersville'!M22+'Monthly Usage - Branson'!M21</f>
        <v>20748.296687172748</v>
      </c>
      <c r="M7" s="41">
        <f>'Monthly Usage - Rogersville'!M23+'Monthly Usage - Branson'!M22</f>
        <v>40926.838956624539</v>
      </c>
      <c r="N7" s="289">
        <f t="shared" ref="N7:N13" si="0">SUM(B7:M7)</f>
        <v>360443.08813338872</v>
      </c>
      <c r="P7" s="140">
        <f>'Monthly Usage - Rogersville'!M24+'Monthly Usage - Branson'!M23</f>
        <v>360443.0881333889</v>
      </c>
      <c r="Q7" s="9">
        <f>N7-P7</f>
        <v>0</v>
      </c>
    </row>
    <row r="8" spans="1:17">
      <c r="A8" s="40" t="s">
        <v>40</v>
      </c>
      <c r="B8" s="41">
        <f>'Monthly Usage - Rogersville'!M33+'Monthly Usage - Branson'!M34</f>
        <v>42608.327614117508</v>
      </c>
      <c r="C8" s="41">
        <f>'Monthly Usage - Rogersville'!M34+'Monthly Usage - Branson'!M35</f>
        <v>46620.496763120827</v>
      </c>
      <c r="D8" s="41">
        <f>'Monthly Usage - Rogersville'!M35+'Monthly Usage - Branson'!M36</f>
        <v>37541.66228679708</v>
      </c>
      <c r="E8" s="41">
        <f>'Monthly Usage - Rogersville'!M36+'Monthly Usage - Branson'!M37</f>
        <v>28933.408498372002</v>
      </c>
      <c r="F8" s="41">
        <f>'Monthly Usage - Rogersville'!M37+'Monthly Usage - Branson'!M38</f>
        <v>16403.589170727195</v>
      </c>
      <c r="G8" s="41">
        <f>'Monthly Usage - Rogersville'!M38+'Monthly Usage - Branson'!M39</f>
        <v>7268.8402250265872</v>
      </c>
      <c r="H8" s="41">
        <f>'Monthly Usage - Rogersville'!M39+'Monthly Usage - Branson'!M40</f>
        <v>3514.797156893906</v>
      </c>
      <c r="I8" s="41">
        <f>'Monthly Usage - Rogersville'!M40+'Monthly Usage - Branson'!M41</f>
        <v>3070.7652781757006</v>
      </c>
      <c r="J8" s="41">
        <f>'Monthly Usage - Rogersville'!M41+'Monthly Usage - Branson'!M42</f>
        <v>3084.5722229064081</v>
      </c>
      <c r="K8" s="41">
        <f>'Monthly Usage - Rogersville'!M42+'Monthly Usage - Branson'!M43</f>
        <v>5103.6417702986682</v>
      </c>
      <c r="L8" s="41">
        <f>'Monthly Usage - Rogersville'!M43+'Monthly Usage - Branson'!M44</f>
        <v>13113.543158197594</v>
      </c>
      <c r="M8" s="41">
        <f>'Monthly Usage - Rogersville'!M44+'Monthly Usage - Branson'!M45</f>
        <v>26448.420399181934</v>
      </c>
      <c r="N8" s="289">
        <f t="shared" si="0"/>
        <v>233712.06454381542</v>
      </c>
      <c r="P8" s="140">
        <f>'Monthly Usage - Rogersville'!M45+'Monthly Usage - Branson'!M46</f>
        <v>233712.06454381539</v>
      </c>
      <c r="Q8" s="9">
        <f t="shared" ref="Q8:Q72" si="1">N8-P8</f>
        <v>0</v>
      </c>
    </row>
    <row r="9" spans="1:17">
      <c r="A9" s="40" t="s">
        <v>41</v>
      </c>
      <c r="B9" s="41">
        <f>'Monthly Usage - Rogersville'!M55+'Monthly Usage - Branson'!M59</f>
        <v>53438.376529322755</v>
      </c>
      <c r="C9" s="41">
        <f>'Monthly Usage - Rogersville'!M56+'Monthly Usage - Branson'!M60</f>
        <v>57739.079635208909</v>
      </c>
      <c r="D9" s="41">
        <f>'Monthly Usage - Rogersville'!M57+'Monthly Usage - Branson'!M61</f>
        <v>47355.389493152579</v>
      </c>
      <c r="E9" s="41">
        <f>'Monthly Usage - Rogersville'!M58+'Monthly Usage - Branson'!M62</f>
        <v>37584.226571624233</v>
      </c>
      <c r="F9" s="41">
        <f>'Monthly Usage - Rogersville'!M59+'Monthly Usage - Branson'!M63</f>
        <v>23553.320763123949</v>
      </c>
      <c r="G9" s="41">
        <f>'Monthly Usage - Rogersville'!M60+'Monthly Usage - Branson'!M64</f>
        <v>13364.970119944668</v>
      </c>
      <c r="H9" s="41">
        <f>'Monthly Usage - Rogersville'!M61+'Monthly Usage - Branson'!M65</f>
        <v>9062.0644311332526</v>
      </c>
      <c r="I9" s="41">
        <f>'Monthly Usage - Rogersville'!M62+'Monthly Usage - Branson'!M66</f>
        <v>8588.6306506827805</v>
      </c>
      <c r="J9" s="41">
        <f>'Monthly Usage - Rogersville'!M63+'Monthly Usage - Branson'!M67</f>
        <v>8651.6972422922881</v>
      </c>
      <c r="K9" s="41">
        <f>'Monthly Usage - Rogersville'!M64+'Monthly Usage - Branson'!M68</f>
        <v>10575.94820074617</v>
      </c>
      <c r="L9" s="41">
        <f>'Monthly Usage - Rogersville'!M65+'Monthly Usage - Branson'!M69</f>
        <v>19821.990957446884</v>
      </c>
      <c r="M9" s="41">
        <f>'Monthly Usage - Rogersville'!M66+'Monthly Usage - Branson'!M70</f>
        <v>35122.127745939077</v>
      </c>
      <c r="N9" s="289">
        <f t="shared" si="0"/>
        <v>324857.82234061748</v>
      </c>
      <c r="P9" s="140">
        <f>'Monthly Usage - Rogersville'!M67+'Monthly Usage - Branson'!M71</f>
        <v>324857.82234061754</v>
      </c>
      <c r="Q9" s="9">
        <f t="shared" si="1"/>
        <v>0</v>
      </c>
    </row>
    <row r="10" spans="1:17">
      <c r="A10" s="40" t="s">
        <v>42</v>
      </c>
      <c r="B10" s="142">
        <f>'Monthly Usage - Rogersville'!M78+'Monthly Usage - Branson'!M82</f>
        <v>6424.2316187888364</v>
      </c>
      <c r="C10" s="142">
        <f>'Monthly Usage - Rogersville'!M79+'Monthly Usage - Branson'!M83</f>
        <v>7005.760013406144</v>
      </c>
      <c r="D10" s="142">
        <f>'Monthly Usage - Rogersville'!M80+'Monthly Usage - Branson'!M84</f>
        <v>5621.7680212219466</v>
      </c>
      <c r="E10" s="142">
        <f>'Monthly Usage - Rogersville'!M81+'Monthly Usage - Branson'!M85</f>
        <v>4366.7736138134132</v>
      </c>
      <c r="F10" s="142">
        <f>'Monthly Usage - Rogersville'!M82+'Monthly Usage - Branson'!M86</f>
        <v>2509.0809797884458</v>
      </c>
      <c r="G10" s="142">
        <f>'Monthly Usage - Rogersville'!M83+'Monthly Usage - Branson'!M87</f>
        <v>1177.9636139533332</v>
      </c>
      <c r="H10" s="142">
        <f>'Monthly Usage - Rogersville'!M84+'Monthly Usage - Branson'!M88</f>
        <v>635.55394155641795</v>
      </c>
      <c r="I10" s="142">
        <f>'Monthly Usage - Rogersville'!M85+'Monthly Usage - Branson'!M89</f>
        <v>573.87204952244747</v>
      </c>
      <c r="J10" s="142">
        <f>'Monthly Usage - Rogersville'!M86+'Monthly Usage - Branson'!M90</f>
        <v>575.87184439716509</v>
      </c>
      <c r="K10" s="142">
        <f>'Monthly Usage - Rogersville'!M87+'Monthly Usage - Branson'!M91</f>
        <v>861.40739497286552</v>
      </c>
      <c r="L10" s="142">
        <f>'Monthly Usage - Rogersville'!M88+'Monthly Usage - Branson'!M92</f>
        <v>2047.0365225870007</v>
      </c>
      <c r="M10" s="142">
        <f>'Monthly Usage - Rogersville'!M89+'Monthly Usage - Branson'!M93</f>
        <v>4008.5777517404094</v>
      </c>
      <c r="N10" s="289">
        <f t="shared" si="0"/>
        <v>35807.897365748431</v>
      </c>
      <c r="P10" s="140">
        <f>'Monthly Usage - Rogersville'!M90+'Monthly Usage - Branson'!M94</f>
        <v>35807.897365748417</v>
      </c>
      <c r="Q10" s="9">
        <f t="shared" si="1"/>
        <v>0</v>
      </c>
    </row>
    <row r="11" spans="1:17">
      <c r="A11" s="40" t="s">
        <v>31</v>
      </c>
      <c r="B11" s="41">
        <f>'Monthly Usage - Rogersville'!M100+'Monthly Usage - Branson'!M103</f>
        <v>36555.19907440598</v>
      </c>
      <c r="C11" s="41">
        <f>'Monthly Usage - Rogersville'!M101+'Monthly Usage - Branson'!M104</f>
        <v>38391.69000266384</v>
      </c>
      <c r="D11" s="41">
        <f>'Monthly Usage - Rogersville'!M102+'Monthly Usage - Branson'!M105</f>
        <v>32659.089746645936</v>
      </c>
      <c r="E11" s="41">
        <f>'Monthly Usage - Rogersville'!M103+'Monthly Usage - Branson'!M106</f>
        <v>27546.202236598467</v>
      </c>
      <c r="F11" s="41">
        <f>'Monthly Usage - Rogersville'!M104+'Monthly Usage - Branson'!M107</f>
        <v>20299.063147509187</v>
      </c>
      <c r="G11" s="41">
        <f>'Monthly Usage - Rogersville'!M105+'Monthly Usage - Branson'!M108</f>
        <v>15018.379661393312</v>
      </c>
      <c r="H11" s="41">
        <f>'Monthly Usage - Rogersville'!M106+'Monthly Usage - Branson'!M109</f>
        <v>12821.84798080464</v>
      </c>
      <c r="I11" s="41">
        <f>'Monthly Usage - Rogersville'!M107+'Monthly Usage - Branson'!M110</f>
        <v>12597.17637481121</v>
      </c>
      <c r="J11" s="41">
        <f>'Monthly Usage - Rogersville'!M108+'Monthly Usage - Branson'!M111</f>
        <v>12627.029646627063</v>
      </c>
      <c r="K11" s="41">
        <f>'Monthly Usage - Rogersville'!M109+'Monthly Usage - Branson'!M112</f>
        <v>13958.588511930611</v>
      </c>
      <c r="L11" s="41">
        <f>'Monthly Usage - Rogersville'!M110+'Monthly Usage - Branson'!M113</f>
        <v>19086.91736946904</v>
      </c>
      <c r="M11" s="41">
        <f>'Monthly Usage - Rogersville'!M111+'Monthly Usage - Branson'!M114</f>
        <v>27270.059472301848</v>
      </c>
      <c r="N11" s="289">
        <f t="shared" si="0"/>
        <v>268831.24322516116</v>
      </c>
      <c r="P11" s="140">
        <f>'Monthly Usage - Rogersville'!M112+'Monthly Usage - Branson'!M115</f>
        <v>268831.2432251611</v>
      </c>
      <c r="Q11" s="9">
        <f t="shared" si="1"/>
        <v>0</v>
      </c>
    </row>
    <row r="12" spans="1:17" ht="15.75" thickBot="1">
      <c r="A12" s="40" t="s">
        <v>28</v>
      </c>
      <c r="B12" s="41">
        <f>'Monthly Usage - Rogersville'!M122+'Monthly Usage - Branson'!M125</f>
        <v>22470.02187314173</v>
      </c>
      <c r="C12" s="41">
        <f>'Monthly Usage - Rogersville'!M123+'Monthly Usage - Branson'!M126</f>
        <v>23779.325817641235</v>
      </c>
      <c r="D12" s="41">
        <f>'Monthly Usage - Rogersville'!M124+'Monthly Usage - Branson'!M127</f>
        <v>19692.337958374632</v>
      </c>
      <c r="E12" s="41">
        <f>'Monthly Usage - Rogersville'!M125+'Monthly Usage - Branson'!M128</f>
        <v>16047.1667888999</v>
      </c>
      <c r="F12" s="41">
        <f>'Monthly Usage - Rogersville'!M126+'Monthly Usage - Branson'!M129</f>
        <v>10880.406828543113</v>
      </c>
      <c r="G12" s="41">
        <f>'Monthly Usage - Rogersville'!M127+'Monthly Usage - Branson'!M130</f>
        <v>7115.6075520317145</v>
      </c>
      <c r="H12" s="41">
        <f>'Monthly Usage - Rogersville'!M128+'Monthly Usage - Branson'!M132</f>
        <v>5549.6169177403362</v>
      </c>
      <c r="I12" s="41">
        <f>'Monthly Usage - Rogersville'!M129+'Monthly Usage - Branson'!M132</f>
        <v>5389.4400198216053</v>
      </c>
      <c r="J12" s="41">
        <f>'Monthly Usage - Rogersville'!M130+'Monthly Usage - Branson'!M133</f>
        <v>5410.7235480673926</v>
      </c>
      <c r="K12" s="41">
        <f>'Monthly Usage - Rogersville'!M131+'Monthly Usage - Branson'!M134</f>
        <v>6360.0422993062439</v>
      </c>
      <c r="L12" s="41">
        <f>'Monthly Usage - Rogersville'!M132+'Monthly Usage - Branson'!M135</f>
        <v>10016.222190287412</v>
      </c>
      <c r="M12" s="41">
        <f>'Monthly Usage - Rogersville'!M133+'Monthly Usage - Branson'!M136</f>
        <v>15850.294152626362</v>
      </c>
      <c r="N12" s="290">
        <f t="shared" si="0"/>
        <v>148561.20594648164</v>
      </c>
      <c r="P12" s="140">
        <f>'Monthly Usage - Rogersville'!M134+'Monthly Usage - Branson'!M137</f>
        <v>148561.20594648164</v>
      </c>
      <c r="Q12" s="9">
        <f t="shared" si="1"/>
        <v>0</v>
      </c>
    </row>
    <row r="13" spans="1:17" s="14" customFormat="1" ht="15.75" thickBot="1">
      <c r="A13" s="300" t="s">
        <v>99</v>
      </c>
      <c r="B13" s="37">
        <f>SUM(B7:B12)</f>
        <v>226506.1887599153</v>
      </c>
      <c r="C13" s="37">
        <f t="shared" ref="C13:M13" si="2">SUM(C7:C12)</f>
        <v>243914.48031873209</v>
      </c>
      <c r="D13" s="37">
        <f t="shared" si="2"/>
        <v>199317.03077040019</v>
      </c>
      <c r="E13" s="37">
        <f t="shared" si="2"/>
        <v>158088.90507681808</v>
      </c>
      <c r="F13" s="37">
        <f t="shared" si="2"/>
        <v>99129.878047404229</v>
      </c>
      <c r="G13" s="37">
        <f t="shared" si="2"/>
        <v>55829.992825924208</v>
      </c>
      <c r="H13" s="37">
        <f t="shared" si="2"/>
        <v>37790.903956311333</v>
      </c>
      <c r="I13" s="37">
        <f t="shared" si="2"/>
        <v>35795.06431605266</v>
      </c>
      <c r="J13" s="37">
        <f t="shared" si="2"/>
        <v>35985.471432953331</v>
      </c>
      <c r="K13" s="37">
        <f t="shared" si="2"/>
        <v>45395.080687126778</v>
      </c>
      <c r="L13" s="37">
        <f t="shared" si="2"/>
        <v>84834.006885160677</v>
      </c>
      <c r="M13" s="37">
        <f t="shared" si="2"/>
        <v>149626.31847841418</v>
      </c>
      <c r="N13" s="285">
        <f t="shared" si="0"/>
        <v>1372213.3215552131</v>
      </c>
      <c r="P13" s="12">
        <f>SUM(P7:P12)</f>
        <v>1372213.3215552128</v>
      </c>
      <c r="Q13" s="9">
        <f t="shared" si="1"/>
        <v>0</v>
      </c>
    </row>
    <row r="14" spans="1:17" s="47" customFormat="1" ht="16.5" thickTop="1" thickBot="1">
      <c r="A14" s="301" t="s">
        <v>105</v>
      </c>
      <c r="B14" s="66">
        <f>'Btu Factor Calculations'!D7</f>
        <v>1.0244558672345425</v>
      </c>
      <c r="C14" s="66">
        <f>'Btu Factor Calculations'!D8</f>
        <v>1.0255541018370355</v>
      </c>
      <c r="D14" s="66">
        <f>'Btu Factor Calculations'!D9</f>
        <v>1.0231012175355054</v>
      </c>
      <c r="E14" s="66">
        <f>'Btu Factor Calculations'!D10</f>
        <v>1.0204801143587594</v>
      </c>
      <c r="F14" s="66">
        <f>'Btu Factor Calculations'!D11</f>
        <v>1.0205974389008663</v>
      </c>
      <c r="G14" s="66">
        <f>'Btu Factor Calculations'!D12</f>
        <v>1.0218328821820093</v>
      </c>
      <c r="H14" s="66">
        <f>'Btu Factor Calculations'!D13</f>
        <v>1.022141923579611</v>
      </c>
      <c r="I14" s="66">
        <f>'Btu Factor Calculations'!D14</f>
        <v>1.016369375321148</v>
      </c>
      <c r="J14" s="66">
        <f>'Btu Factor Calculations'!D15</f>
        <v>1.0156438882173078</v>
      </c>
      <c r="K14" s="66">
        <f>'Btu Factor Calculations'!D16</f>
        <v>1.0149260837479468</v>
      </c>
      <c r="L14" s="66">
        <f>'Btu Factor Calculations'!D5</f>
        <v>1.0219198790627362</v>
      </c>
      <c r="M14" s="66">
        <f>'Btu Factor Calculations'!D17</f>
        <v>1.0215527994751492</v>
      </c>
      <c r="N14" s="145">
        <f>'Btu Factor Calculations'!D17</f>
        <v>1.0215527994751492</v>
      </c>
      <c r="Q14" s="9"/>
    </row>
    <row r="15" spans="1:17" s="14" customFormat="1" ht="15.75" thickBot="1">
      <c r="A15" s="302" t="s">
        <v>99</v>
      </c>
      <c r="B15" s="59">
        <f>B13</f>
        <v>226506.1887599153</v>
      </c>
      <c r="C15" s="59">
        <f t="shared" ref="C15:M15" si="3">C13</f>
        <v>243914.48031873209</v>
      </c>
      <c r="D15" s="59">
        <f t="shared" si="3"/>
        <v>199317.03077040019</v>
      </c>
      <c r="E15" s="59">
        <f t="shared" si="3"/>
        <v>158088.90507681808</v>
      </c>
      <c r="F15" s="59">
        <f t="shared" si="3"/>
        <v>99129.878047404229</v>
      </c>
      <c r="G15" s="59">
        <f t="shared" si="3"/>
        <v>55829.992825924208</v>
      </c>
      <c r="H15" s="59">
        <f t="shared" si="3"/>
        <v>37790.903956311333</v>
      </c>
      <c r="I15" s="59">
        <f t="shared" si="3"/>
        <v>35795.06431605266</v>
      </c>
      <c r="J15" s="59">
        <f t="shared" si="3"/>
        <v>35985.471432953331</v>
      </c>
      <c r="K15" s="59">
        <f t="shared" si="3"/>
        <v>45395.080687126778</v>
      </c>
      <c r="L15" s="59">
        <f t="shared" si="3"/>
        <v>84834.006885160677</v>
      </c>
      <c r="M15" s="59">
        <f t="shared" si="3"/>
        <v>149626.31847841418</v>
      </c>
      <c r="N15" s="146">
        <f>SUM(B15:M15)</f>
        <v>1372213.3215552131</v>
      </c>
      <c r="P15" s="15" t="e">
        <f>'Monthly Usage - Branson'!#REF!+'Monthly Usage - Branson'!#REF!+'Monthly Usage - Branson'!#REF!+'Monthly Usage - Branson'!#REF!+'Monthly Usage - Branson'!#REF!+'Monthly Usage - Branson'!#REF!+'Monthly Usage - Rogersville'!#REF!+'Monthly Usage - Rogersville'!#REF!+'Monthly Usage - Rogersville'!#REF!+'Monthly Usage - Rogersville'!#REF!+'Monthly Usage - Rogersville'!#REF!+'Monthly Usage - Rogersville'!#REF!</f>
        <v>#REF!</v>
      </c>
      <c r="Q15" s="9" t="e">
        <f t="shared" si="1"/>
        <v>#REF!</v>
      </c>
    </row>
    <row r="16" spans="1:17" s="14" customFormat="1" ht="15.75" thickBot="1">
      <c r="A16" s="302" t="s">
        <v>159</v>
      </c>
      <c r="B16" s="59">
        <f>ROUND(B15/'Btu Factor Calculations'!D7,0)</f>
        <v>221099</v>
      </c>
      <c r="C16" s="59">
        <f>ROUND(C15/'Btu Factor Calculations'!D8,0)</f>
        <v>237837</v>
      </c>
      <c r="D16" s="59">
        <f>ROUND(D15/'Btu Factor Calculations'!D9,0)</f>
        <v>194817</v>
      </c>
      <c r="E16" s="59">
        <f>ROUND(E15/'Btu Factor Calculations'!D10,0)</f>
        <v>154916</v>
      </c>
      <c r="F16" s="59">
        <f>ROUND(F15/'Btu Factor Calculations'!D11,0)</f>
        <v>97129</v>
      </c>
      <c r="G16" s="59">
        <f>ROUND(G15/'Btu Factor Calculations'!D12,0)</f>
        <v>54637</v>
      </c>
      <c r="H16" s="59">
        <f>ROUND(H15/'Btu Factor Calculations'!D13,0)</f>
        <v>36972</v>
      </c>
      <c r="I16" s="59">
        <f>ROUND(I15/'Btu Factor Calculations'!D14,0)</f>
        <v>35219</v>
      </c>
      <c r="J16" s="59">
        <f>ROUND(J15/'Btu Factor Calculations'!D15,0)</f>
        <v>35431</v>
      </c>
      <c r="K16" s="59">
        <f>ROUND(K15/'Btu Factor Calculations'!D16,0)</f>
        <v>44727</v>
      </c>
      <c r="L16" s="59">
        <f>ROUND(L15/'Btu Factor Calculations'!D5,0)</f>
        <v>83014</v>
      </c>
      <c r="M16" s="59">
        <f>ROUND(M15/'Btu Factor Calculations'!D6,0)</f>
        <v>146802</v>
      </c>
      <c r="N16" s="146">
        <f>SUM(B16:M16)</f>
        <v>1342600</v>
      </c>
      <c r="P16" s="15">
        <f>'Monthly Usage - Rogersville'!Q24+'Monthly Usage - Branson'!Q23</f>
        <v>1342604.5138174796</v>
      </c>
      <c r="Q16" s="9">
        <f>N16-P16</f>
        <v>-4.5138174796011299</v>
      </c>
    </row>
    <row r="17" spans="1:17">
      <c r="Q17" s="9"/>
    </row>
    <row r="18" spans="1:17" ht="22.5">
      <c r="A18" s="353" t="s">
        <v>89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Q18" s="9"/>
    </row>
    <row r="19" spans="1:17">
      <c r="A19" s="38" t="s">
        <v>38</v>
      </c>
      <c r="B19" s="39">
        <f>B6</f>
        <v>41974</v>
      </c>
      <c r="C19" s="39">
        <f t="shared" ref="C19:M19" si="4">C6</f>
        <v>42005</v>
      </c>
      <c r="D19" s="39">
        <f t="shared" si="4"/>
        <v>42036</v>
      </c>
      <c r="E19" s="39">
        <f t="shared" si="4"/>
        <v>42064</v>
      </c>
      <c r="F19" s="39">
        <f t="shared" si="4"/>
        <v>42095</v>
      </c>
      <c r="G19" s="39">
        <f t="shared" si="4"/>
        <v>42125</v>
      </c>
      <c r="H19" s="39">
        <f t="shared" si="4"/>
        <v>42156</v>
      </c>
      <c r="I19" s="39">
        <f t="shared" si="4"/>
        <v>42186</v>
      </c>
      <c r="J19" s="39">
        <f t="shared" si="4"/>
        <v>42217</v>
      </c>
      <c r="K19" s="39">
        <f t="shared" si="4"/>
        <v>42248</v>
      </c>
      <c r="L19" s="39">
        <f t="shared" si="4"/>
        <v>42278</v>
      </c>
      <c r="M19" s="39">
        <f t="shared" si="4"/>
        <v>42309</v>
      </c>
      <c r="N19" s="148" t="s">
        <v>36</v>
      </c>
      <c r="P19" s="123" t="s">
        <v>139</v>
      </c>
      <c r="Q19" s="36" t="s">
        <v>193</v>
      </c>
    </row>
    <row r="20" spans="1:17">
      <c r="A20" s="303" t="s">
        <v>158</v>
      </c>
      <c r="B20" s="304">
        <f>Hedges!C23</f>
        <v>104067</v>
      </c>
      <c r="C20" s="304">
        <f>Hedges!D23</f>
        <v>104067</v>
      </c>
      <c r="D20" s="304">
        <f>Hedges!E23</f>
        <v>93996</v>
      </c>
      <c r="E20" s="305"/>
      <c r="F20" s="305"/>
      <c r="G20" s="305"/>
      <c r="H20" s="305"/>
      <c r="I20" s="305"/>
      <c r="J20" s="305"/>
      <c r="K20" s="305"/>
      <c r="L20" s="305"/>
      <c r="M20" s="305"/>
      <c r="N20" s="150">
        <f>SUM(B20:M20)</f>
        <v>302130</v>
      </c>
      <c r="P20" s="42">
        <f>Hedges!F7+Hedges!F13+Hedges!F19</f>
        <v>302130</v>
      </c>
      <c r="Q20" s="9">
        <f t="shared" si="1"/>
        <v>0</v>
      </c>
    </row>
    <row r="21" spans="1:17">
      <c r="A21" s="303" t="s">
        <v>43</v>
      </c>
      <c r="B21" s="287">
        <f>Hedges!$F$25</f>
        <v>4.3433333333333337</v>
      </c>
      <c r="C21" s="287">
        <f>Hedges!$F$25</f>
        <v>4.3433333333333337</v>
      </c>
      <c r="D21" s="287">
        <f>Hedges!$F$25</f>
        <v>4.3433333333333337</v>
      </c>
      <c r="E21" s="305"/>
      <c r="F21" s="305"/>
      <c r="G21" s="305"/>
      <c r="H21" s="305"/>
      <c r="I21" s="305"/>
      <c r="J21" s="305"/>
      <c r="K21" s="305"/>
      <c r="L21" s="305"/>
      <c r="M21" s="305"/>
      <c r="N21" s="151">
        <f>N22/N20</f>
        <v>4.3433333333333337</v>
      </c>
      <c r="P21" s="125">
        <f>Hedges!F25</f>
        <v>4.3433333333333337</v>
      </c>
      <c r="Q21" s="9">
        <f t="shared" si="1"/>
        <v>0</v>
      </c>
    </row>
    <row r="22" spans="1:17" s="49" customFormat="1" ht="15.75" thickBot="1">
      <c r="A22" s="306" t="s">
        <v>68</v>
      </c>
      <c r="B22" s="51">
        <f>B20*B21</f>
        <v>451997.67000000004</v>
      </c>
      <c r="C22" s="51">
        <f t="shared" ref="C22:M22" si="5">C20*C21</f>
        <v>451997.67000000004</v>
      </c>
      <c r="D22" s="51">
        <f t="shared" si="5"/>
        <v>408255.96</v>
      </c>
      <c r="E22" s="51">
        <f t="shared" si="5"/>
        <v>0</v>
      </c>
      <c r="F22" s="51">
        <f t="shared" si="5"/>
        <v>0</v>
      </c>
      <c r="G22" s="51">
        <f t="shared" si="5"/>
        <v>0</v>
      </c>
      <c r="H22" s="51">
        <f t="shared" si="5"/>
        <v>0</v>
      </c>
      <c r="I22" s="51">
        <f t="shared" si="5"/>
        <v>0</v>
      </c>
      <c r="J22" s="51">
        <f t="shared" si="5"/>
        <v>0</v>
      </c>
      <c r="K22" s="51">
        <f t="shared" si="5"/>
        <v>0</v>
      </c>
      <c r="L22" s="51">
        <f t="shared" si="5"/>
        <v>0</v>
      </c>
      <c r="M22" s="51">
        <f t="shared" si="5"/>
        <v>0</v>
      </c>
      <c r="N22" s="152">
        <f t="shared" ref="N22:N27" si="6">SUM(B22:M22)</f>
        <v>1312251.3</v>
      </c>
      <c r="P22" s="42">
        <f>Hedges!F9+Hedges!F15+Hedges!F21</f>
        <v>1312251.3</v>
      </c>
      <c r="Q22" s="9">
        <f t="shared" si="1"/>
        <v>0</v>
      </c>
    </row>
    <row r="23" spans="1:17" ht="15.75" thickTop="1">
      <c r="A23" s="307" t="s">
        <v>187</v>
      </c>
      <c r="B23" s="308">
        <f>((B20-ROUND(B20*(1-'Delivery Rates'!$F$5),0)))*-1</f>
        <v>-1353</v>
      </c>
      <c r="C23" s="308">
        <f>((C20-ROUND(C20*(1-'Delivery Rates'!$F$5),0)))*-1</f>
        <v>-1353</v>
      </c>
      <c r="D23" s="308">
        <f>((D20-ROUND(D20*(1-'Delivery Rates'!$F$5),0)))*-1</f>
        <v>-1222</v>
      </c>
      <c r="E23" s="308">
        <f>((E20-ROUND(E20*(1-'Delivery Rates'!$F$5),0)))*-1</f>
        <v>0</v>
      </c>
      <c r="F23" s="308">
        <f>((F20-ROUND(F20*(1-'Delivery Rates'!$F$5),0)))*-1</f>
        <v>0</v>
      </c>
      <c r="G23" s="308">
        <f>((G20-ROUND(G20*(1-'Delivery Rates'!$F$5),0)))*-1</f>
        <v>0</v>
      </c>
      <c r="H23" s="308">
        <f>((H20-ROUND(H20*(1-'Delivery Rates'!$F$5),0)))*-1</f>
        <v>0</v>
      </c>
      <c r="I23" s="308">
        <f>((I20-ROUND(I20*(1-'Delivery Rates'!$F$5),0)))*-1</f>
        <v>0</v>
      </c>
      <c r="J23" s="308">
        <f>((J20-ROUND(J20*(1-'Delivery Rates'!$F$5),0)))*-1</f>
        <v>0</v>
      </c>
      <c r="K23" s="308">
        <f>((K20-ROUND(K20*(1-'Delivery Rates'!$F$5),0)))*-1</f>
        <v>0</v>
      </c>
      <c r="L23" s="308">
        <f>((L20-ROUND(L20*(1-'Delivery Rates'!$F$5),0)))*-1</f>
        <v>0</v>
      </c>
      <c r="M23" s="308">
        <f>((M20-ROUND(M20*(1-'Delivery Rates'!$F$5),0)))*-1</f>
        <v>0</v>
      </c>
      <c r="N23" s="153">
        <f t="shared" si="6"/>
        <v>-3928</v>
      </c>
      <c r="P23" s="42">
        <f t="shared" ref="P23:P33" si="7">B23+C23+D23+E23+F23+G23+H23+I23+J23+K23+L23+M23</f>
        <v>-3928</v>
      </c>
      <c r="Q23" s="9">
        <f t="shared" si="1"/>
        <v>0</v>
      </c>
    </row>
    <row r="24" spans="1:17">
      <c r="A24" s="307" t="s">
        <v>60</v>
      </c>
      <c r="B24" s="304">
        <f t="shared" ref="B24:M24" si="8">B20+B23</f>
        <v>102714</v>
      </c>
      <c r="C24" s="304">
        <f t="shared" si="8"/>
        <v>102714</v>
      </c>
      <c r="D24" s="304">
        <f t="shared" si="8"/>
        <v>92774</v>
      </c>
      <c r="E24" s="304">
        <f t="shared" si="8"/>
        <v>0</v>
      </c>
      <c r="F24" s="304">
        <f t="shared" si="8"/>
        <v>0</v>
      </c>
      <c r="G24" s="304">
        <f t="shared" si="8"/>
        <v>0</v>
      </c>
      <c r="H24" s="304">
        <f t="shared" si="8"/>
        <v>0</v>
      </c>
      <c r="I24" s="304">
        <f t="shared" si="8"/>
        <v>0</v>
      </c>
      <c r="J24" s="304">
        <f t="shared" si="8"/>
        <v>0</v>
      </c>
      <c r="K24" s="304">
        <f t="shared" si="8"/>
        <v>0</v>
      </c>
      <c r="L24" s="304">
        <f t="shared" si="8"/>
        <v>0</v>
      </c>
      <c r="M24" s="304">
        <f t="shared" si="8"/>
        <v>0</v>
      </c>
      <c r="N24" s="154">
        <f t="shared" si="6"/>
        <v>298202</v>
      </c>
      <c r="P24" s="42">
        <f>+N20+N23</f>
        <v>298202</v>
      </c>
      <c r="Q24" s="9">
        <f t="shared" si="1"/>
        <v>0</v>
      </c>
    </row>
    <row r="25" spans="1:17">
      <c r="A25" s="307" t="s">
        <v>61</v>
      </c>
      <c r="B25" s="48">
        <f t="shared" ref="B25:M25" si="9">B15-B24</f>
        <v>123792.1887599153</v>
      </c>
      <c r="C25" s="48">
        <f t="shared" si="9"/>
        <v>141200.48031873209</v>
      </c>
      <c r="D25" s="48">
        <f t="shared" si="9"/>
        <v>106543.03077040019</v>
      </c>
      <c r="E25" s="48">
        <f t="shared" si="9"/>
        <v>158088.90507681808</v>
      </c>
      <c r="F25" s="48">
        <f t="shared" si="9"/>
        <v>99129.878047404229</v>
      </c>
      <c r="G25" s="48">
        <f t="shared" si="9"/>
        <v>55829.992825924208</v>
      </c>
      <c r="H25" s="48">
        <f t="shared" si="9"/>
        <v>37790.903956311333</v>
      </c>
      <c r="I25" s="48">
        <f t="shared" si="9"/>
        <v>35795.06431605266</v>
      </c>
      <c r="J25" s="48">
        <f t="shared" si="9"/>
        <v>35985.471432953331</v>
      </c>
      <c r="K25" s="48">
        <f t="shared" si="9"/>
        <v>45395.080687126778</v>
      </c>
      <c r="L25" s="48">
        <f t="shared" si="9"/>
        <v>84834.006885160677</v>
      </c>
      <c r="M25" s="48">
        <f t="shared" si="9"/>
        <v>149626.31847841418</v>
      </c>
      <c r="N25" s="154">
        <f t="shared" si="6"/>
        <v>1074011.3215552131</v>
      </c>
      <c r="P25" s="42">
        <f>+N15-N24</f>
        <v>1074011.3215552131</v>
      </c>
      <c r="Q25" s="9">
        <f t="shared" si="1"/>
        <v>0</v>
      </c>
    </row>
    <row r="26" spans="1:17">
      <c r="A26" s="307" t="s">
        <v>179</v>
      </c>
      <c r="B26" s="309">
        <f>'Est Storage WACOG Calc'!E13-10000</f>
        <v>287762</v>
      </c>
      <c r="C26" s="309">
        <f>B35</f>
        <v>241262</v>
      </c>
      <c r="D26" s="309">
        <f t="shared" ref="D26:M26" si="10">C35</f>
        <v>163762</v>
      </c>
      <c r="E26" s="309">
        <f t="shared" si="10"/>
        <v>116162</v>
      </c>
      <c r="F26" s="309">
        <f t="shared" si="10"/>
        <v>54162</v>
      </c>
      <c r="G26" s="309">
        <f t="shared" si="10"/>
        <v>119522</v>
      </c>
      <c r="H26" s="309">
        <f t="shared" si="10"/>
        <v>179557</v>
      </c>
      <c r="I26" s="309">
        <f t="shared" si="10"/>
        <v>217321</v>
      </c>
      <c r="J26" s="309">
        <f t="shared" si="10"/>
        <v>247338</v>
      </c>
      <c r="K26" s="309">
        <f t="shared" si="10"/>
        <v>268350</v>
      </c>
      <c r="L26" s="309">
        <f t="shared" si="10"/>
        <v>282875</v>
      </c>
      <c r="M26" s="309">
        <f t="shared" si="10"/>
        <v>297884</v>
      </c>
      <c r="N26" s="283">
        <f t="shared" si="6"/>
        <v>2475957</v>
      </c>
      <c r="O26" s="171"/>
      <c r="P26" s="177">
        <f t="shared" si="7"/>
        <v>2475957</v>
      </c>
      <c r="Q26" s="9">
        <f t="shared" si="1"/>
        <v>0</v>
      </c>
    </row>
    <row r="27" spans="1:17" ht="15.75" thickBot="1">
      <c r="A27" s="307" t="s">
        <v>63</v>
      </c>
      <c r="B27" s="308">
        <f>-1500*31</f>
        <v>-46500</v>
      </c>
      <c r="C27" s="308">
        <f>-2500*31</f>
        <v>-77500</v>
      </c>
      <c r="D27" s="308">
        <f>-1700*28</f>
        <v>-47600</v>
      </c>
      <c r="E27" s="308">
        <f>-2000*31</f>
        <v>-62000</v>
      </c>
      <c r="F27" s="308">
        <v>0</v>
      </c>
      <c r="G27" s="308">
        <v>0</v>
      </c>
      <c r="H27" s="308">
        <v>0</v>
      </c>
      <c r="I27" s="308">
        <v>0</v>
      </c>
      <c r="J27" s="308">
        <v>0</v>
      </c>
      <c r="K27" s="308">
        <v>0</v>
      </c>
      <c r="L27" s="308">
        <v>0</v>
      </c>
      <c r="M27" s="308">
        <f>-500*30</f>
        <v>-15000</v>
      </c>
      <c r="N27" s="154">
        <f t="shared" si="6"/>
        <v>-248600</v>
      </c>
      <c r="P27" s="42">
        <f t="shared" si="7"/>
        <v>-248600</v>
      </c>
      <c r="Q27" s="9">
        <f t="shared" si="1"/>
        <v>0</v>
      </c>
    </row>
    <row r="28" spans="1:17" ht="15.75" thickBot="1">
      <c r="A28" s="307" t="s">
        <v>216</v>
      </c>
      <c r="B28" s="296">
        <f>'Est Storage WACOG Calc'!E14</f>
        <v>4.1566180909585508</v>
      </c>
      <c r="C28" s="287">
        <f>B37</f>
        <v>4.1566180909585508</v>
      </c>
      <c r="D28" s="287">
        <f t="shared" ref="D28:M28" si="11">C37</f>
        <v>4.1566180909585508</v>
      </c>
      <c r="E28" s="287">
        <f t="shared" si="11"/>
        <v>4.1566180909585508</v>
      </c>
      <c r="F28" s="287">
        <f t="shared" si="11"/>
        <v>4.1566180909585508</v>
      </c>
      <c r="G28" s="287">
        <f t="shared" si="11"/>
        <v>3.8715110945474223</v>
      </c>
      <c r="H28" s="287">
        <f t="shared" si="11"/>
        <v>3.7838722469327122</v>
      </c>
      <c r="I28" s="287">
        <f t="shared" si="11"/>
        <v>3.7580387953418999</v>
      </c>
      <c r="J28" s="287">
        <f t="shared" si="11"/>
        <v>3.7472759909213185</v>
      </c>
      <c r="K28" s="287">
        <f t="shared" si="11"/>
        <v>3.7422245166480228</v>
      </c>
      <c r="L28" s="287">
        <f t="shared" si="11"/>
        <v>3.7385804650198744</v>
      </c>
      <c r="M28" s="287">
        <f t="shared" si="11"/>
        <v>3.7372196863292322</v>
      </c>
      <c r="N28" s="155"/>
      <c r="P28" s="42"/>
      <c r="Q28" s="9">
        <f t="shared" si="1"/>
        <v>0</v>
      </c>
    </row>
    <row r="29" spans="1:17" s="49" customFormat="1">
      <c r="A29" s="310" t="s">
        <v>93</v>
      </c>
      <c r="B29" s="311">
        <f t="shared" ref="B29:M29" si="12">-B27*B28</f>
        <v>193282.74122957262</v>
      </c>
      <c r="C29" s="311">
        <f t="shared" si="12"/>
        <v>322137.90204928769</v>
      </c>
      <c r="D29" s="311">
        <f t="shared" si="12"/>
        <v>197855.02112962701</v>
      </c>
      <c r="E29" s="311">
        <f t="shared" si="12"/>
        <v>257710.32163943016</v>
      </c>
      <c r="F29" s="311">
        <f t="shared" si="12"/>
        <v>0</v>
      </c>
      <c r="G29" s="311">
        <f t="shared" si="12"/>
        <v>0</v>
      </c>
      <c r="H29" s="311">
        <f t="shared" si="12"/>
        <v>0</v>
      </c>
      <c r="I29" s="311">
        <f t="shared" si="12"/>
        <v>0</v>
      </c>
      <c r="J29" s="311">
        <f t="shared" si="12"/>
        <v>0</v>
      </c>
      <c r="K29" s="311">
        <f t="shared" si="12"/>
        <v>0</v>
      </c>
      <c r="L29" s="311">
        <f t="shared" si="12"/>
        <v>0</v>
      </c>
      <c r="M29" s="311">
        <f t="shared" si="12"/>
        <v>56058.295294938485</v>
      </c>
      <c r="N29" s="156">
        <f>SUM(B29:M29)</f>
        <v>1027044.2813428559</v>
      </c>
      <c r="P29" s="177">
        <f t="shared" si="7"/>
        <v>1027044.2813428559</v>
      </c>
      <c r="Q29" s="9">
        <f t="shared" si="1"/>
        <v>0</v>
      </c>
    </row>
    <row r="30" spans="1:17">
      <c r="A30" s="307" t="s">
        <v>92</v>
      </c>
      <c r="B30" s="200">
        <v>0</v>
      </c>
      <c r="C30" s="200">
        <v>0</v>
      </c>
      <c r="D30" s="200">
        <v>0</v>
      </c>
      <c r="E30" s="200">
        <v>0</v>
      </c>
      <c r="F30" s="309">
        <f>2250*30</f>
        <v>67500</v>
      </c>
      <c r="G30" s="309">
        <f>2000*31</f>
        <v>62000</v>
      </c>
      <c r="H30" s="309">
        <f>1300*30</f>
        <v>39000</v>
      </c>
      <c r="I30" s="309">
        <f>1000*31</f>
        <v>31000</v>
      </c>
      <c r="J30" s="309">
        <f>700*31</f>
        <v>21700</v>
      </c>
      <c r="K30" s="309">
        <f>500*30</f>
        <v>15000</v>
      </c>
      <c r="L30" s="309">
        <f>500*31</f>
        <v>15500</v>
      </c>
      <c r="M30" s="309">
        <v>0</v>
      </c>
      <c r="N30" s="157">
        <f>SUM(B30:M30)</f>
        <v>251700</v>
      </c>
      <c r="P30" s="42">
        <f t="shared" si="7"/>
        <v>251700</v>
      </c>
      <c r="Q30" s="9">
        <f t="shared" si="1"/>
        <v>0</v>
      </c>
    </row>
    <row r="31" spans="1:17">
      <c r="A31" s="307" t="s">
        <v>106</v>
      </c>
      <c r="B31" s="312">
        <v>0</v>
      </c>
      <c r="C31" s="312">
        <v>0</v>
      </c>
      <c r="D31" s="312">
        <v>0</v>
      </c>
      <c r="E31" s="312">
        <v>0</v>
      </c>
      <c r="F31" s="312">
        <f>'Swing Price'!D7</f>
        <v>3.52</v>
      </c>
      <c r="G31" s="312">
        <f>'Swing Price'!D8</f>
        <v>3.4949999999999997</v>
      </c>
      <c r="H31" s="312">
        <f>'Swing Price'!D9</f>
        <v>3.52</v>
      </c>
      <c r="I31" s="312">
        <f>'Swing Price'!D10</f>
        <v>3.5529999999999999</v>
      </c>
      <c r="J31" s="312">
        <f>'Swing Price'!D11</f>
        <v>3.5659999999999998</v>
      </c>
      <c r="K31" s="312">
        <f>'Swing Price'!D12</f>
        <v>3.5549999999999997</v>
      </c>
      <c r="L31" s="312">
        <f>'Swing Price'!D13</f>
        <v>3.5939999999999999</v>
      </c>
      <c r="M31" s="312">
        <v>0</v>
      </c>
      <c r="N31" s="151">
        <f>N32/N30</f>
        <v>3.5417148986889151</v>
      </c>
      <c r="P31" s="42"/>
      <c r="Q31" s="9"/>
    </row>
    <row r="32" spans="1:17">
      <c r="A32" s="307" t="s">
        <v>166</v>
      </c>
      <c r="B32" s="313">
        <f>(B30*B31)+(B30*'Delivery Rates'!$F$12)</f>
        <v>0</v>
      </c>
      <c r="C32" s="313">
        <f>(C30*C31)+(C30*'Delivery Rates'!$F$12)</f>
        <v>0</v>
      </c>
      <c r="D32" s="313">
        <f>(D30*D31)+(D30*'Delivery Rates'!$F$12)</f>
        <v>0</v>
      </c>
      <c r="E32" s="313">
        <f>(E30*E31)+(E30*'Delivery Rates'!$F$12)</f>
        <v>0</v>
      </c>
      <c r="F32" s="313">
        <f>(F30*F31)+(F30*'Delivery Rates'!$F$12)</f>
        <v>238491</v>
      </c>
      <c r="G32" s="313">
        <f>(G30*G31)+(G30*'Delivery Rates'!$F$12)</f>
        <v>217508.39999999997</v>
      </c>
      <c r="H32" s="313">
        <f>(H30*H31)+(H30*'Delivery Rates'!$F$12)</f>
        <v>137794.79999999999</v>
      </c>
      <c r="I32" s="313">
        <f>(I30*I31)+(I30*'Delivery Rates'!$F$12)</f>
        <v>110552.2</v>
      </c>
      <c r="J32" s="313">
        <f>(J30*J31)+(J30*'Delivery Rates'!$F$12)</f>
        <v>77668.639999999999</v>
      </c>
      <c r="K32" s="313">
        <f>(K30*K31)+(K30*'Delivery Rates'!$F$12)</f>
        <v>53522.999999999993</v>
      </c>
      <c r="L32" s="313">
        <f>(L30*L31)+(L30*'Delivery Rates'!$F$12)</f>
        <v>55911.6</v>
      </c>
      <c r="M32" s="313">
        <f>(M30*M31)+(M30*'Delivery Rates'!$F$12)</f>
        <v>0</v>
      </c>
      <c r="N32" s="158">
        <f>SUM(B32:M32)</f>
        <v>891449.6399999999</v>
      </c>
      <c r="P32" s="42">
        <f>+N31*N30</f>
        <v>891449.6399999999</v>
      </c>
      <c r="Q32" s="9">
        <f t="shared" si="1"/>
        <v>0</v>
      </c>
    </row>
    <row r="33" spans="1:17">
      <c r="A33" s="307" t="s">
        <v>188</v>
      </c>
      <c r="B33" s="308">
        <f>((B30-ROUND(B30*(1-'Delivery Rates'!$F$4),0))*-1)</f>
        <v>0</v>
      </c>
      <c r="C33" s="308">
        <f>((C30-ROUND(C30*(1-'Delivery Rates'!$F$4),0))*-1)</f>
        <v>0</v>
      </c>
      <c r="D33" s="308">
        <f>((D30-ROUND(D30*(1-'Delivery Rates'!$F$4),0))*-1)</f>
        <v>0</v>
      </c>
      <c r="E33" s="308">
        <f>((E30-ROUND(E30*(1-'Delivery Rates'!$F$4),0))*-1)</f>
        <v>0</v>
      </c>
      <c r="F33" s="308">
        <f>((F30-ROUND(F30*(1-'Delivery Rates'!$F$4),0))*-1)</f>
        <v>-2140</v>
      </c>
      <c r="G33" s="308">
        <f>((G30-ROUND(G30*(1-'Delivery Rates'!$F$4),0))*-1)</f>
        <v>-1965</v>
      </c>
      <c r="H33" s="308">
        <f>((H30-ROUND(H30*(1-'Delivery Rates'!$F$4),0))*-1)</f>
        <v>-1236</v>
      </c>
      <c r="I33" s="308">
        <f>((I30-ROUND(I30*(1-'Delivery Rates'!$F$4),0))*-1)</f>
        <v>-983</v>
      </c>
      <c r="J33" s="308">
        <f>((J30-ROUND(J30*(1-'Delivery Rates'!$F$4),0))*-1)</f>
        <v>-688</v>
      </c>
      <c r="K33" s="308">
        <f>((K30-ROUND(K30*(1-'Delivery Rates'!$F$4),0))*-1)</f>
        <v>-475</v>
      </c>
      <c r="L33" s="308">
        <f>((L30-ROUND(L30*(1-'Delivery Rates'!$F$4),0))*-1)</f>
        <v>-491</v>
      </c>
      <c r="M33" s="308">
        <f>((M30-ROUND(M30*(1-'Delivery Rates'!$F$4),0))*-1)</f>
        <v>0</v>
      </c>
      <c r="N33" s="153">
        <f>SUM(B33:M33)</f>
        <v>-7978</v>
      </c>
      <c r="P33" s="42">
        <f t="shared" si="7"/>
        <v>-7978</v>
      </c>
      <c r="Q33" s="9">
        <f t="shared" si="1"/>
        <v>0</v>
      </c>
    </row>
    <row r="34" spans="1:17" ht="15.75" thickBot="1">
      <c r="A34" s="307" t="s">
        <v>65</v>
      </c>
      <c r="B34" s="314">
        <f>B30+B33</f>
        <v>0</v>
      </c>
      <c r="C34" s="314">
        <f t="shared" ref="C34:M34" si="13">C30+C33</f>
        <v>0</v>
      </c>
      <c r="D34" s="314">
        <f t="shared" si="13"/>
        <v>0</v>
      </c>
      <c r="E34" s="314">
        <f t="shared" si="13"/>
        <v>0</v>
      </c>
      <c r="F34" s="314">
        <f t="shared" si="13"/>
        <v>65360</v>
      </c>
      <c r="G34" s="314">
        <f t="shared" si="13"/>
        <v>60035</v>
      </c>
      <c r="H34" s="314">
        <f t="shared" si="13"/>
        <v>37764</v>
      </c>
      <c r="I34" s="314">
        <f t="shared" si="13"/>
        <v>30017</v>
      </c>
      <c r="J34" s="314">
        <f t="shared" si="13"/>
        <v>21012</v>
      </c>
      <c r="K34" s="314">
        <f t="shared" si="13"/>
        <v>14525</v>
      </c>
      <c r="L34" s="314">
        <f t="shared" si="13"/>
        <v>15009</v>
      </c>
      <c r="M34" s="314">
        <f t="shared" si="13"/>
        <v>0</v>
      </c>
      <c r="N34" s="153">
        <f>SUM(B34:M34)</f>
        <v>243722</v>
      </c>
      <c r="P34" s="42">
        <f>P30+P33</f>
        <v>243722</v>
      </c>
      <c r="Q34" s="9">
        <f t="shared" si="1"/>
        <v>0</v>
      </c>
    </row>
    <row r="35" spans="1:17" ht="15.75" thickBot="1">
      <c r="A35" s="307" t="s">
        <v>64</v>
      </c>
      <c r="B35" s="48">
        <f>B26+B27+B34</f>
        <v>241262</v>
      </c>
      <c r="C35" s="48">
        <f t="shared" ref="C35:M35" si="14">C26+C27+C34</f>
        <v>163762</v>
      </c>
      <c r="D35" s="48">
        <f t="shared" si="14"/>
        <v>116162</v>
      </c>
      <c r="E35" s="175">
        <f t="shared" si="14"/>
        <v>54162</v>
      </c>
      <c r="F35" s="48">
        <f t="shared" si="14"/>
        <v>119522</v>
      </c>
      <c r="G35" s="48">
        <f t="shared" si="14"/>
        <v>179557</v>
      </c>
      <c r="H35" s="48">
        <f t="shared" si="14"/>
        <v>217321</v>
      </c>
      <c r="I35" s="48">
        <f t="shared" si="14"/>
        <v>247338</v>
      </c>
      <c r="J35" s="48">
        <f t="shared" si="14"/>
        <v>268350</v>
      </c>
      <c r="K35" s="48">
        <f t="shared" si="14"/>
        <v>282875</v>
      </c>
      <c r="L35" s="175">
        <f t="shared" si="14"/>
        <v>297884</v>
      </c>
      <c r="M35" s="48">
        <f t="shared" si="14"/>
        <v>282884</v>
      </c>
      <c r="N35" s="153">
        <f>M35</f>
        <v>282884</v>
      </c>
      <c r="Q35" s="9"/>
    </row>
    <row r="36" spans="1:17">
      <c r="A36" s="307" t="s">
        <v>69</v>
      </c>
      <c r="B36" s="52">
        <f>(B26*B28)-B29+(B30*B31)</f>
        <v>1002833.993860842</v>
      </c>
      <c r="C36" s="52">
        <f t="shared" ref="C36:M36" si="15">(C26*C28)-C29+(C30*C31)</f>
        <v>680696.09181155416</v>
      </c>
      <c r="D36" s="52">
        <f t="shared" si="15"/>
        <v>482841.07068192714</v>
      </c>
      <c r="E36" s="52">
        <f t="shared" si="15"/>
        <v>225130.74904249705</v>
      </c>
      <c r="F36" s="52">
        <f t="shared" si="15"/>
        <v>462730.74904249702</v>
      </c>
      <c r="G36" s="52">
        <f t="shared" si="15"/>
        <v>679420.74904249702</v>
      </c>
      <c r="H36" s="52">
        <f t="shared" si="15"/>
        <v>816700.74904249702</v>
      </c>
      <c r="I36" s="52">
        <f t="shared" si="15"/>
        <v>926843.74904249702</v>
      </c>
      <c r="J36" s="52">
        <f t="shared" si="15"/>
        <v>1004225.949042497</v>
      </c>
      <c r="K36" s="52">
        <f t="shared" si="15"/>
        <v>1057550.949042497</v>
      </c>
      <c r="L36" s="52">
        <f t="shared" si="15"/>
        <v>1113257.949042497</v>
      </c>
      <c r="M36" s="52">
        <f t="shared" si="15"/>
        <v>1057199.6537475586</v>
      </c>
      <c r="N36" s="158">
        <f>M36</f>
        <v>1057199.6537475586</v>
      </c>
      <c r="Q36" s="9"/>
    </row>
    <row r="37" spans="1:17">
      <c r="A37" s="307" t="s">
        <v>67</v>
      </c>
      <c r="B37" s="287">
        <f t="shared" ref="B37:N37" si="16">B36/B35</f>
        <v>4.1566180909585508</v>
      </c>
      <c r="C37" s="287">
        <f t="shared" si="16"/>
        <v>4.1566180909585508</v>
      </c>
      <c r="D37" s="287">
        <f t="shared" si="16"/>
        <v>4.1566180909585508</v>
      </c>
      <c r="E37" s="287">
        <f t="shared" si="16"/>
        <v>4.1566180909585508</v>
      </c>
      <c r="F37" s="287">
        <f t="shared" si="16"/>
        <v>3.8715110945474223</v>
      </c>
      <c r="G37" s="287">
        <f t="shared" si="16"/>
        <v>3.7838722469327122</v>
      </c>
      <c r="H37" s="287">
        <f t="shared" si="16"/>
        <v>3.7580387953418999</v>
      </c>
      <c r="I37" s="287">
        <f t="shared" si="16"/>
        <v>3.7472759909213185</v>
      </c>
      <c r="J37" s="287">
        <f t="shared" si="16"/>
        <v>3.7422245166480228</v>
      </c>
      <c r="K37" s="287">
        <f t="shared" si="16"/>
        <v>3.7385804650198744</v>
      </c>
      <c r="L37" s="287">
        <f t="shared" si="16"/>
        <v>3.7372196863292322</v>
      </c>
      <c r="M37" s="287">
        <f t="shared" si="16"/>
        <v>3.7372196863292326</v>
      </c>
      <c r="N37" s="286">
        <f t="shared" si="16"/>
        <v>3.7372196863292326</v>
      </c>
      <c r="P37" s="288">
        <f>N36/N35</f>
        <v>3.7372196863292326</v>
      </c>
      <c r="Q37" s="9">
        <f t="shared" si="1"/>
        <v>0</v>
      </c>
    </row>
    <row r="38" spans="1:17" s="14" customFormat="1">
      <c r="A38" s="315" t="s">
        <v>62</v>
      </c>
      <c r="B38" s="316">
        <f>B25+B27</f>
        <v>77292.188759915298</v>
      </c>
      <c r="C38" s="316">
        <f t="shared" ref="C38:M38" si="17">C25+C27</f>
        <v>63700.480318732094</v>
      </c>
      <c r="D38" s="316">
        <f t="shared" si="17"/>
        <v>58943.03077040019</v>
      </c>
      <c r="E38" s="316">
        <f t="shared" si="17"/>
        <v>96088.905076818075</v>
      </c>
      <c r="F38" s="316">
        <f t="shared" si="17"/>
        <v>99129.878047404229</v>
      </c>
      <c r="G38" s="316">
        <f t="shared" si="17"/>
        <v>55829.992825924208</v>
      </c>
      <c r="H38" s="316">
        <f t="shared" si="17"/>
        <v>37790.903956311333</v>
      </c>
      <c r="I38" s="316">
        <f t="shared" si="17"/>
        <v>35795.06431605266</v>
      </c>
      <c r="J38" s="316">
        <f t="shared" si="17"/>
        <v>35985.471432953331</v>
      </c>
      <c r="K38" s="316">
        <f t="shared" si="17"/>
        <v>45395.080687126778</v>
      </c>
      <c r="L38" s="316">
        <f t="shared" si="17"/>
        <v>84834.006885160677</v>
      </c>
      <c r="M38" s="316">
        <f t="shared" si="17"/>
        <v>134626.31847841418</v>
      </c>
      <c r="N38" s="159">
        <f>SUM(B38:M38)</f>
        <v>825411.32155521307</v>
      </c>
      <c r="P38" s="42"/>
      <c r="Q38" s="9"/>
    </row>
    <row r="39" spans="1:17">
      <c r="A39" s="307" t="s">
        <v>189</v>
      </c>
      <c r="B39" s="309">
        <f>((B38/(1-'Delivery Rates'!$F$6))-B38)</f>
        <v>891.29167698061792</v>
      </c>
      <c r="C39" s="309">
        <f>((C38/(1-'Delivery Rates'!$F$6))-C38)</f>
        <v>734.55945340233302</v>
      </c>
      <c r="D39" s="309">
        <f>((D38/(1-'Delivery Rates'!$F$6))-D38)</f>
        <v>679.69912075921457</v>
      </c>
      <c r="E39" s="309">
        <f>((E38/(1-'Delivery Rates'!$F$6))-E38)</f>
        <v>1108.0452335380542</v>
      </c>
      <c r="F39" s="309">
        <f>((F38/(1-'Delivery Rates'!$F$6))-F38)</f>
        <v>1143.1120875383349</v>
      </c>
      <c r="G39" s="309">
        <f>((G38/(1-'Delivery Rates'!$F$6))-G38)</f>
        <v>643.80125249396224</v>
      </c>
      <c r="H39" s="309">
        <f>((H38/(1-'Delivery Rates'!$F$6))-H38)</f>
        <v>435.78424550065392</v>
      </c>
      <c r="I39" s="309">
        <f>((I38/(1-'Delivery Rates'!$F$6))-I38)</f>
        <v>412.76930326016736</v>
      </c>
      <c r="J39" s="309">
        <f>((J38/(1-'Delivery Rates'!$F$6))-J38)</f>
        <v>414.96497505125444</v>
      </c>
      <c r="K39" s="309">
        <f>((K38/(1-'Delivery Rates'!$F$6))-K38)</f>
        <v>523.47149487481511</v>
      </c>
      <c r="L39" s="309">
        <f>((L38/(1-'Delivery Rates'!$F$6))-L38)</f>
        <v>978.25984067452373</v>
      </c>
      <c r="M39" s="309">
        <f>((M38/(1-'Delivery Rates'!$F$6))-M38)</f>
        <v>1552.4378218227066</v>
      </c>
      <c r="N39" s="159">
        <f>SUM(B39:M39)</f>
        <v>9518.196505896638</v>
      </c>
      <c r="P39" s="42"/>
      <c r="Q39" s="9"/>
    </row>
    <row r="40" spans="1:17">
      <c r="A40" s="307" t="s">
        <v>66</v>
      </c>
      <c r="B40" s="48">
        <f t="shared" ref="B40:M40" si="18">B38+B39</f>
        <v>78183.480436895916</v>
      </c>
      <c r="C40" s="48">
        <f t="shared" si="18"/>
        <v>64435.039772134427</v>
      </c>
      <c r="D40" s="48">
        <f t="shared" si="18"/>
        <v>59622.729891159404</v>
      </c>
      <c r="E40" s="48">
        <f t="shared" si="18"/>
        <v>97196.950310356129</v>
      </c>
      <c r="F40" s="48">
        <f t="shared" si="18"/>
        <v>100272.99013494256</v>
      </c>
      <c r="G40" s="48">
        <f t="shared" si="18"/>
        <v>56473.79407841817</v>
      </c>
      <c r="H40" s="48">
        <f t="shared" si="18"/>
        <v>38226.688201811987</v>
      </c>
      <c r="I40" s="48">
        <f t="shared" si="18"/>
        <v>36207.833619312827</v>
      </c>
      <c r="J40" s="48">
        <f t="shared" si="18"/>
        <v>36400.436408004585</v>
      </c>
      <c r="K40" s="48">
        <f t="shared" si="18"/>
        <v>45918.552182001593</v>
      </c>
      <c r="L40" s="48">
        <f t="shared" si="18"/>
        <v>85812.266725835201</v>
      </c>
      <c r="M40" s="48">
        <f t="shared" si="18"/>
        <v>136178.75630023688</v>
      </c>
      <c r="N40" s="159">
        <f>SUM(B40:M40)</f>
        <v>834929.5180611097</v>
      </c>
      <c r="P40" s="42"/>
      <c r="Q40" s="9"/>
    </row>
    <row r="41" spans="1:17">
      <c r="A41" s="307" t="s">
        <v>190</v>
      </c>
      <c r="B41" s="309">
        <f>((B40/(1-'Delivery Rates'!$F$5))-B40)</f>
        <v>1029.7722853897139</v>
      </c>
      <c r="C41" s="309">
        <f>((C40/(1-'Delivery Rates'!$F$5))-C40)</f>
        <v>848.68846711017977</v>
      </c>
      <c r="D41" s="309">
        <f>((D40/(1-'Delivery Rates'!$F$5))-D40)</f>
        <v>785.30444638811605</v>
      </c>
      <c r="E41" s="309">
        <f>((E40/(1-'Delivery Rates'!$F$5))-E40)</f>
        <v>1280.2029929428827</v>
      </c>
      <c r="F41" s="309">
        <f>((F40/(1-'Delivery Rates'!$F$5))-F40)</f>
        <v>1320.7182084642845</v>
      </c>
      <c r="G41" s="309">
        <f>((G40/(1-'Delivery Rates'!$F$5))-G40)</f>
        <v>743.82910133681435</v>
      </c>
      <c r="H41" s="309">
        <f>((H40/(1-'Delivery Rates'!$F$5))-H40)</f>
        <v>503.49234713632904</v>
      </c>
      <c r="I41" s="309">
        <f>((I40/(1-'Delivery Rates'!$F$5))-I40)</f>
        <v>476.90155729591061</v>
      </c>
      <c r="J41" s="309">
        <f>((J40/(1-'Delivery Rates'!$F$5))-J40)</f>
        <v>479.43837214190717</v>
      </c>
      <c r="K41" s="309">
        <f>((K40/(1-'Delivery Rates'!$F$5))-K40)</f>
        <v>604.80362549748679</v>
      </c>
      <c r="L41" s="309">
        <f>((L40/(1-'Delivery Rates'!$F$5))-L40)</f>
        <v>1130.2527532278182</v>
      </c>
      <c r="M41" s="309">
        <f>((M40/(1-'Delivery Rates'!$F$5))-M40)</f>
        <v>1793.6411670750531</v>
      </c>
      <c r="N41" s="159">
        <f>SUM(B41:M41)</f>
        <v>10997.045324006496</v>
      </c>
      <c r="P41" s="42"/>
      <c r="Q41" s="9"/>
    </row>
    <row r="42" spans="1:17" s="171" customFormat="1">
      <c r="A42" s="317" t="s">
        <v>91</v>
      </c>
      <c r="B42" s="318">
        <f t="shared" ref="B42:M42" si="19">B40+B41</f>
        <v>79213.25272228563</v>
      </c>
      <c r="C42" s="318">
        <f t="shared" si="19"/>
        <v>65283.728239244607</v>
      </c>
      <c r="D42" s="318">
        <f t="shared" si="19"/>
        <v>60408.03433754752</v>
      </c>
      <c r="E42" s="318">
        <f t="shared" si="19"/>
        <v>98477.153303299012</v>
      </c>
      <c r="F42" s="318">
        <f t="shared" si="19"/>
        <v>101593.70834340685</v>
      </c>
      <c r="G42" s="318">
        <f t="shared" si="19"/>
        <v>57217.623179754984</v>
      </c>
      <c r="H42" s="318">
        <f t="shared" si="19"/>
        <v>38730.180548948316</v>
      </c>
      <c r="I42" s="318">
        <f t="shared" si="19"/>
        <v>36684.735176608738</v>
      </c>
      <c r="J42" s="318">
        <f t="shared" si="19"/>
        <v>36879.874780146492</v>
      </c>
      <c r="K42" s="318">
        <f t="shared" si="19"/>
        <v>46523.35580749908</v>
      </c>
      <c r="L42" s="318">
        <f t="shared" si="19"/>
        <v>86942.519479063019</v>
      </c>
      <c r="M42" s="318">
        <f t="shared" si="19"/>
        <v>137972.39746731194</v>
      </c>
      <c r="N42" s="284">
        <f>SUM(B42:M42)</f>
        <v>845926.56338511617</v>
      </c>
      <c r="P42" s="177">
        <f>+N40+N41</f>
        <v>845926.56338511617</v>
      </c>
      <c r="Q42" s="173">
        <f t="shared" si="1"/>
        <v>0</v>
      </c>
    </row>
    <row r="43" spans="1:17">
      <c r="A43" s="307" t="s">
        <v>107</v>
      </c>
      <c r="B43" s="287">
        <f>'Swing Price'!D3</f>
        <v>3.9020000000000001</v>
      </c>
      <c r="C43" s="287">
        <f>'Swing Price'!D4</f>
        <v>3.9810000000000003</v>
      </c>
      <c r="D43" s="287">
        <f>'Swing Price'!D5</f>
        <v>3.972</v>
      </c>
      <c r="E43" s="287">
        <f>'Swing Price'!D6</f>
        <v>3.9180000000000001</v>
      </c>
      <c r="F43" s="287">
        <f>'Swing Price'!D7</f>
        <v>3.52</v>
      </c>
      <c r="G43" s="287">
        <f>'Swing Price'!D8</f>
        <v>3.4949999999999997</v>
      </c>
      <c r="H43" s="287">
        <f>'Swing Price'!D9</f>
        <v>3.52</v>
      </c>
      <c r="I43" s="287">
        <f>'Swing Price'!D10</f>
        <v>3.5529999999999999</v>
      </c>
      <c r="J43" s="287">
        <f>'Swing Price'!D11</f>
        <v>3.5659999999999998</v>
      </c>
      <c r="K43" s="287">
        <f>'Swing Price'!D12</f>
        <v>3.5549999999999997</v>
      </c>
      <c r="L43" s="287">
        <f>'Swing Price'!D13</f>
        <v>3.5939999999999999</v>
      </c>
      <c r="M43" s="287">
        <f>'Swing Price'!D14</f>
        <v>3.8540000000000001</v>
      </c>
      <c r="N43" s="151">
        <f>N44/N42</f>
        <v>3.7357103018887372</v>
      </c>
      <c r="P43" s="42"/>
      <c r="Q43" s="9"/>
    </row>
    <row r="44" spans="1:17" s="49" customFormat="1" ht="15.75" thickBot="1">
      <c r="A44" s="319" t="s">
        <v>72</v>
      </c>
      <c r="B44" s="51">
        <f>B42*B43</f>
        <v>309090.11212235852</v>
      </c>
      <c r="C44" s="51">
        <f t="shared" ref="C44:M44" si="20">C42*C43</f>
        <v>259894.52212043281</v>
      </c>
      <c r="D44" s="51">
        <f t="shared" si="20"/>
        <v>239940.71238873876</v>
      </c>
      <c r="E44" s="51">
        <f t="shared" si="20"/>
        <v>385833.48664232553</v>
      </c>
      <c r="F44" s="51">
        <f t="shared" si="20"/>
        <v>357609.8533687921</v>
      </c>
      <c r="G44" s="51">
        <f t="shared" si="20"/>
        <v>199975.59301324366</v>
      </c>
      <c r="H44" s="51">
        <f t="shared" si="20"/>
        <v>136330.23553229807</v>
      </c>
      <c r="I44" s="51">
        <f t="shared" si="20"/>
        <v>130340.86408249084</v>
      </c>
      <c r="J44" s="51">
        <f t="shared" si="20"/>
        <v>131513.63346600239</v>
      </c>
      <c r="K44" s="51">
        <f t="shared" si="20"/>
        <v>165390.52989565922</v>
      </c>
      <c r="L44" s="51">
        <f t="shared" si="20"/>
        <v>312471.41500775248</v>
      </c>
      <c r="M44" s="51">
        <f t="shared" si="20"/>
        <v>531745.61983902019</v>
      </c>
      <c r="N44" s="152">
        <f>SUM(B44:M44)</f>
        <v>3160136.5774791143</v>
      </c>
      <c r="P44" s="42">
        <f>+P42*N43</f>
        <v>3160136.5774791143</v>
      </c>
      <c r="Q44" s="9">
        <f t="shared" si="1"/>
        <v>0</v>
      </c>
    </row>
    <row r="45" spans="1:17" ht="16.5" thickTop="1" thickBot="1">
      <c r="A45" s="320" t="s">
        <v>70</v>
      </c>
      <c r="B45" s="321">
        <f>B22+B29+B44</f>
        <v>954370.52335193125</v>
      </c>
      <c r="C45" s="321">
        <f t="shared" ref="C45:M45" si="21">C22+C29+C44</f>
        <v>1034030.0941697205</v>
      </c>
      <c r="D45" s="321">
        <f t="shared" si="21"/>
        <v>846051.69351836573</v>
      </c>
      <c r="E45" s="321">
        <f t="shared" si="21"/>
        <v>643543.80828175566</v>
      </c>
      <c r="F45" s="321">
        <f t="shared" si="21"/>
        <v>357609.8533687921</v>
      </c>
      <c r="G45" s="321">
        <f t="shared" si="21"/>
        <v>199975.59301324366</v>
      </c>
      <c r="H45" s="321">
        <f t="shared" si="21"/>
        <v>136330.23553229807</v>
      </c>
      <c r="I45" s="321">
        <f t="shared" si="21"/>
        <v>130340.86408249084</v>
      </c>
      <c r="J45" s="321">
        <f t="shared" si="21"/>
        <v>131513.63346600239</v>
      </c>
      <c r="K45" s="321">
        <f t="shared" si="21"/>
        <v>165390.52989565922</v>
      </c>
      <c r="L45" s="321">
        <f t="shared" si="21"/>
        <v>312471.41500775248</v>
      </c>
      <c r="M45" s="321">
        <f t="shared" si="21"/>
        <v>587803.91513395868</v>
      </c>
      <c r="N45" s="158">
        <f>SUM(B45:M45)</f>
        <v>5499432.1588219712</v>
      </c>
      <c r="P45" s="42">
        <f>+N44+N29+N22</f>
        <v>5499432.1588219702</v>
      </c>
      <c r="Q45" s="9">
        <f t="shared" si="1"/>
        <v>0</v>
      </c>
    </row>
    <row r="46" spans="1:17" ht="15.75" thickBot="1">
      <c r="A46" s="322" t="s">
        <v>71</v>
      </c>
      <c r="B46" s="58">
        <f>B45/B13</f>
        <v>4.2134412687660117</v>
      </c>
      <c r="C46" s="58">
        <f t="shared" ref="C46:M46" si="22">C45/C13</f>
        <v>4.2393140940977148</v>
      </c>
      <c r="D46" s="58">
        <f t="shared" si="22"/>
        <v>4.2447536482367143</v>
      </c>
      <c r="E46" s="58">
        <f t="shared" si="22"/>
        <v>4.0707714938568698</v>
      </c>
      <c r="F46" s="58">
        <f t="shared" si="22"/>
        <v>3.6074880794040918</v>
      </c>
      <c r="G46" s="58">
        <f t="shared" si="22"/>
        <v>3.5818667152037786</v>
      </c>
      <c r="H46" s="58">
        <f t="shared" si="22"/>
        <v>3.6074880794040922</v>
      </c>
      <c r="I46" s="58">
        <f t="shared" si="22"/>
        <v>3.6413082801485053</v>
      </c>
      <c r="J46" s="58">
        <f t="shared" si="22"/>
        <v>3.6546313895326685</v>
      </c>
      <c r="K46" s="58">
        <f t="shared" si="22"/>
        <v>3.6433579892845298</v>
      </c>
      <c r="L46" s="58">
        <f t="shared" si="22"/>
        <v>3.6833273174370191</v>
      </c>
      <c r="M46" s="58">
        <f t="shared" si="22"/>
        <v>3.9284794353792654</v>
      </c>
      <c r="N46" s="149">
        <f>N45/N13</f>
        <v>4.0077093498765404</v>
      </c>
      <c r="P46" s="168">
        <f>P45/P13</f>
        <v>4.0077093498765404</v>
      </c>
      <c r="Q46" s="9">
        <f t="shared" si="1"/>
        <v>0</v>
      </c>
    </row>
    <row r="47" spans="1:17">
      <c r="Q47" s="9"/>
    </row>
    <row r="48" spans="1:17" ht="22.5">
      <c r="A48" s="353" t="s">
        <v>88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Q48" s="9"/>
    </row>
    <row r="49" spans="1:17">
      <c r="A49" s="323" t="s">
        <v>77</v>
      </c>
      <c r="B49" s="39">
        <f>B6</f>
        <v>41974</v>
      </c>
      <c r="C49" s="39">
        <f t="shared" ref="C49:M49" si="23">C6</f>
        <v>42005</v>
      </c>
      <c r="D49" s="39">
        <f t="shared" si="23"/>
        <v>42036</v>
      </c>
      <c r="E49" s="39">
        <f t="shared" si="23"/>
        <v>42064</v>
      </c>
      <c r="F49" s="39">
        <f t="shared" si="23"/>
        <v>42095</v>
      </c>
      <c r="G49" s="39">
        <f t="shared" si="23"/>
        <v>42125</v>
      </c>
      <c r="H49" s="39">
        <f t="shared" si="23"/>
        <v>42156</v>
      </c>
      <c r="I49" s="39">
        <f t="shared" si="23"/>
        <v>42186</v>
      </c>
      <c r="J49" s="39">
        <f t="shared" si="23"/>
        <v>42217</v>
      </c>
      <c r="K49" s="39">
        <f t="shared" si="23"/>
        <v>42248</v>
      </c>
      <c r="L49" s="39">
        <f t="shared" si="23"/>
        <v>42278</v>
      </c>
      <c r="M49" s="160">
        <f t="shared" si="23"/>
        <v>42309</v>
      </c>
      <c r="N49" s="148" t="s">
        <v>36</v>
      </c>
      <c r="P49" s="123" t="s">
        <v>139</v>
      </c>
      <c r="Q49" s="36" t="s">
        <v>193</v>
      </c>
    </row>
    <row r="50" spans="1:17">
      <c r="A50" s="324" t="s">
        <v>73</v>
      </c>
      <c r="B50" s="52">
        <f>(3000*31)*'Delivery Rates'!$F$11</f>
        <v>34410</v>
      </c>
      <c r="C50" s="52">
        <f>(3000*31)*'Delivery Rates'!$F$11</f>
        <v>34410</v>
      </c>
      <c r="D50" s="52">
        <f>(3000*28)*'Delivery Rates'!$F$11</f>
        <v>31080</v>
      </c>
      <c r="E50" s="52">
        <f>(3000*31)*'Delivery Rates'!$F$11</f>
        <v>34410</v>
      </c>
      <c r="F50" s="52">
        <f>(3000*30)*'Delivery Rates'!$F$11</f>
        <v>33300</v>
      </c>
      <c r="G50" s="52">
        <f>(3000*31)*'Delivery Rates'!$F$11</f>
        <v>34410</v>
      </c>
      <c r="H50" s="52">
        <f>(3000*30)*'Delivery Rates'!$F$11</f>
        <v>33300</v>
      </c>
      <c r="I50" s="52">
        <f>(3000*31)*'Delivery Rates'!$F$11</f>
        <v>34410</v>
      </c>
      <c r="J50" s="52">
        <f>(3000*31)*'Delivery Rates'!$F$11</f>
        <v>34410</v>
      </c>
      <c r="K50" s="52">
        <f>(3000*30)*'Delivery Rates'!$F$11</f>
        <v>33300</v>
      </c>
      <c r="L50" s="52">
        <f>(3000*31)*'Delivery Rates'!$F$11</f>
        <v>34410</v>
      </c>
      <c r="M50" s="52">
        <f>(3000*30)*'Delivery Rates'!$F$11</f>
        <v>33300</v>
      </c>
      <c r="N50" s="158">
        <f t="shared" ref="N50:N56" si="24">SUM(B50:M50)</f>
        <v>405150</v>
      </c>
      <c r="P50" s="42">
        <f>(3000*365)*'Delivery Rates'!F11</f>
        <v>405150</v>
      </c>
      <c r="Q50" s="9">
        <f t="shared" si="1"/>
        <v>0</v>
      </c>
    </row>
    <row r="51" spans="1:17">
      <c r="A51" s="325" t="s">
        <v>191</v>
      </c>
      <c r="B51" s="326">
        <f>(14000*31)*'Delivery Rates'!$F$17</f>
        <v>96695.2</v>
      </c>
      <c r="C51" s="326">
        <f>(14000*31)*'Delivery Rates'!$F$17</f>
        <v>96695.2</v>
      </c>
      <c r="D51" s="326">
        <f>(14000*28)*'Delivery Rates'!$F$17</f>
        <v>87337.600000000006</v>
      </c>
      <c r="E51" s="326">
        <f>(14000*31)*'Delivery Rates'!$F$17</f>
        <v>96695.2</v>
      </c>
      <c r="F51" s="326">
        <f>(14000*30)*'Delivery Rates'!$F$17</f>
        <v>93576</v>
      </c>
      <c r="G51" s="326">
        <f>(14000*31)*'Delivery Rates'!$F$17</f>
        <v>96695.2</v>
      </c>
      <c r="H51" s="326">
        <f>(14000*30)*'Delivery Rates'!$F$17</f>
        <v>93576</v>
      </c>
      <c r="I51" s="326">
        <f>(14000*31)*'Delivery Rates'!$F$17</f>
        <v>96695.2</v>
      </c>
      <c r="J51" s="326">
        <f>(14000*31)*'Delivery Rates'!$F$17</f>
        <v>96695.2</v>
      </c>
      <c r="K51" s="326">
        <f>(14000*30)*'Delivery Rates'!$F$17</f>
        <v>93576</v>
      </c>
      <c r="L51" s="326">
        <f>(14000*31)*'Delivery Rates'!$F$17</f>
        <v>96695.2</v>
      </c>
      <c r="M51" s="326">
        <f>(14000*30)*'Delivery Rates'!$F$17</f>
        <v>93576</v>
      </c>
      <c r="N51" s="154">
        <f t="shared" si="24"/>
        <v>1138508</v>
      </c>
      <c r="P51" s="42">
        <f>(14000*365)*'Delivery Rates'!F17</f>
        <v>1138508</v>
      </c>
      <c r="Q51" s="9">
        <f t="shared" si="1"/>
        <v>0</v>
      </c>
    </row>
    <row r="52" spans="1:17">
      <c r="A52" s="324" t="s">
        <v>74</v>
      </c>
      <c r="B52" s="304">
        <f>(10100*31)*'Delivery Rates'!$F$24</f>
        <v>49657.659999999996</v>
      </c>
      <c r="C52" s="304">
        <f>(10100*31)*'Delivery Rates'!$F$24</f>
        <v>49657.659999999996</v>
      </c>
      <c r="D52" s="304">
        <f>(10100*28)*'Delivery Rates'!$F$24</f>
        <v>44852.079999999994</v>
      </c>
      <c r="E52" s="304">
        <f>(10100*31)*'Delivery Rates'!$F$24</f>
        <v>49657.659999999996</v>
      </c>
      <c r="F52" s="304">
        <f>(10100*30)*'Delivery Rates'!$F$24</f>
        <v>48055.799999999996</v>
      </c>
      <c r="G52" s="304">
        <f>(10100*31)*'Delivery Rates'!$F$24</f>
        <v>49657.659999999996</v>
      </c>
      <c r="H52" s="304">
        <f>(10100*30)*'Delivery Rates'!$F$24</f>
        <v>48055.799999999996</v>
      </c>
      <c r="I52" s="304">
        <f>(10100*31)*'Delivery Rates'!$F$24</f>
        <v>49657.659999999996</v>
      </c>
      <c r="J52" s="304">
        <f>(10100*31)*'Delivery Rates'!$F$24</f>
        <v>49657.659999999996</v>
      </c>
      <c r="K52" s="304">
        <f>(10100*30)*'Delivery Rates'!$F$24</f>
        <v>48055.799999999996</v>
      </c>
      <c r="L52" s="304">
        <f>(10100*31)*'Delivery Rates'!$F$24</f>
        <v>49657.659999999996</v>
      </c>
      <c r="M52" s="304">
        <f>(10100*30)*'Delivery Rates'!$F$24</f>
        <v>48055.799999999996</v>
      </c>
      <c r="N52" s="154">
        <f t="shared" si="24"/>
        <v>584678.89999999991</v>
      </c>
      <c r="P52" s="42">
        <f>(10100*365)*'Delivery Rates'!F24</f>
        <v>584678.9</v>
      </c>
      <c r="Q52" s="9">
        <f t="shared" si="1"/>
        <v>0</v>
      </c>
    </row>
    <row r="53" spans="1:17">
      <c r="A53" s="324" t="s">
        <v>75</v>
      </c>
      <c r="B53" s="304">
        <f>(5000*31)*'Delivery Rates'!$F$32</f>
        <v>35200.5</v>
      </c>
      <c r="C53" s="304">
        <f>(5000*31)*'Delivery Rates'!$F$32</f>
        <v>35200.5</v>
      </c>
      <c r="D53" s="304">
        <f>(5000*28)*'Delivery Rates'!$F$32</f>
        <v>31794</v>
      </c>
      <c r="E53" s="304">
        <f>(5000*31)*'Delivery Rates'!$F$32</f>
        <v>35200.5</v>
      </c>
      <c r="F53" s="304">
        <f>(5000*30)*'Delivery Rates'!$F$32</f>
        <v>34065</v>
      </c>
      <c r="G53" s="304">
        <f>(5000*31)*'Delivery Rates'!$F$32</f>
        <v>35200.5</v>
      </c>
      <c r="H53" s="304">
        <f>(5000*30)*'Delivery Rates'!$F$32</f>
        <v>34065</v>
      </c>
      <c r="I53" s="304">
        <f>(5000*31)*'Delivery Rates'!$F$32</f>
        <v>35200.5</v>
      </c>
      <c r="J53" s="304">
        <f>(5000*31)*'Delivery Rates'!$F$32</f>
        <v>35200.5</v>
      </c>
      <c r="K53" s="304">
        <f>(5000*30)*'Delivery Rates'!$F$32</f>
        <v>34065</v>
      </c>
      <c r="L53" s="304">
        <f>(5000*31)*'Delivery Rates'!$F$32</f>
        <v>35200.5</v>
      </c>
      <c r="M53" s="304">
        <f>(5000*30)*'Delivery Rates'!$F$32</f>
        <v>34065</v>
      </c>
      <c r="N53" s="154">
        <f t="shared" si="24"/>
        <v>414457.5</v>
      </c>
      <c r="P53" s="42">
        <f>(5000*365)*'Delivery Rates'!F32</f>
        <v>414457.5</v>
      </c>
      <c r="Q53" s="9">
        <f t="shared" si="1"/>
        <v>0</v>
      </c>
    </row>
    <row r="54" spans="1:17">
      <c r="A54" s="324" t="s">
        <v>76</v>
      </c>
      <c r="B54" s="304">
        <f>(5000*31)*'Delivery Rates'!$F$40</f>
        <v>24583</v>
      </c>
      <c r="C54" s="304">
        <f>(5000*31)*'Delivery Rates'!$F$40</f>
        <v>24583</v>
      </c>
      <c r="D54" s="304">
        <f>(5000*28)*'Delivery Rates'!$F$40</f>
        <v>22204</v>
      </c>
      <c r="E54" s="304">
        <f>(5000*31)*'Delivery Rates'!$F$40</f>
        <v>24583</v>
      </c>
      <c r="F54" s="304">
        <f>(5000*30)*'Delivery Rates'!$F$40</f>
        <v>23790</v>
      </c>
      <c r="G54" s="304">
        <f>(5000*31)*'Delivery Rates'!$F$40</f>
        <v>24583</v>
      </c>
      <c r="H54" s="304">
        <f>(5000*30)*'Delivery Rates'!$F$40</f>
        <v>23790</v>
      </c>
      <c r="I54" s="304">
        <f>(5000*31)*'Delivery Rates'!$F$40</f>
        <v>24583</v>
      </c>
      <c r="J54" s="304">
        <f>(5000*31)*'Delivery Rates'!$F$40</f>
        <v>24583</v>
      </c>
      <c r="K54" s="304">
        <f>(5000*30)*'Delivery Rates'!$F$40</f>
        <v>23790</v>
      </c>
      <c r="L54" s="304">
        <f>(5000*31)*'Delivery Rates'!$F$40</f>
        <v>24583</v>
      </c>
      <c r="M54" s="304">
        <f>(5000*30)*'Delivery Rates'!$F$40</f>
        <v>23790</v>
      </c>
      <c r="N54" s="154">
        <f t="shared" si="24"/>
        <v>289445</v>
      </c>
      <c r="P54" s="42">
        <f>(5000*365)*'Delivery Rates'!F24</f>
        <v>289445</v>
      </c>
      <c r="Q54" s="9">
        <f t="shared" si="1"/>
        <v>0</v>
      </c>
    </row>
    <row r="55" spans="1:17" s="171" customFormat="1">
      <c r="A55" s="325" t="s">
        <v>214</v>
      </c>
      <c r="B55" s="327">
        <f>('Delivery Rates'!$F$17*'Capacity Release Vols'!Q7)*-1</f>
        <v>-17591.619599999998</v>
      </c>
      <c r="C55" s="327">
        <f>('Delivery Rates'!$F$17*'Capacity Release Vols'!Q8)*-1</f>
        <v>-23027.271199999999</v>
      </c>
      <c r="D55" s="327">
        <f>('Delivery Rates'!$F$17*'Capacity Release Vols'!Q9)*-1</f>
        <v>-21453.857599999999</v>
      </c>
      <c r="E55" s="327">
        <f>('Delivery Rates'!$F$17*'Capacity Release Vols'!Q10)*-1</f>
        <v>-17854.078000000001</v>
      </c>
      <c r="F55" s="327">
        <f>('Delivery Rates'!$F$17*'Capacity Release Vols'!Q11)*-1</f>
        <v>-14591.172</v>
      </c>
      <c r="G55" s="327">
        <f>('Delivery Rates'!$F$17*'Capacity Release Vols'!Q12)*-1</f>
        <v>-12149.0612</v>
      </c>
      <c r="H55" s="327">
        <f>('Delivery Rates'!$F$17*'Capacity Release Vols'!Q13)*-1</f>
        <v>-11416.271999999999</v>
      </c>
      <c r="I55" s="327">
        <f>('Delivery Rates'!$F$17*'Capacity Release Vols'!Q14)*-1</f>
        <v>-9849.0967999999993</v>
      </c>
      <c r="J55" s="327">
        <f>('Delivery Rates'!$F$17*'Capacity Release Vols'!Q15)*-1</f>
        <v>-10249.691199999999</v>
      </c>
      <c r="K55" s="327">
        <f>('Delivery Rates'!$F$17*'Capacity Release Vols'!Q16)*-1</f>
        <v>-11650.212</v>
      </c>
      <c r="L55" s="327">
        <f>('Delivery Rates'!$F$17*'Capacity Release Vols'!Q17)*-1</f>
        <v>-12618.723599999999</v>
      </c>
      <c r="M55" s="327">
        <f>('Delivery Rates'!$F$17*'Capacity Release Vols'!Q6)*-1</f>
        <v>-16703.315999999999</v>
      </c>
      <c r="N55" s="176">
        <f t="shared" si="24"/>
        <v>-179154.37119999997</v>
      </c>
      <c r="P55" s="177">
        <f>('Capacity Release Vols'!Q18*'Delivery Rates'!F17)*-1</f>
        <v>-179154.37119999999</v>
      </c>
      <c r="Q55" s="9">
        <f t="shared" si="1"/>
        <v>0</v>
      </c>
    </row>
    <row r="56" spans="1:17">
      <c r="A56" s="324" t="s">
        <v>215</v>
      </c>
      <c r="B56" s="328">
        <f>('Delivery Rates'!$F$24*'Capacity Release Vols'!P7)*-1</f>
        <v>-12355.415799999999</v>
      </c>
      <c r="C56" s="328">
        <f>('Delivery Rates'!$F$24*'Capacity Release Vols'!P8)*-1</f>
        <v>-16180.530599999998</v>
      </c>
      <c r="D56" s="328">
        <f>('Delivery Rates'!$F$24*'Capacity Release Vols'!P9)*-1</f>
        <v>-15072.075199999999</v>
      </c>
      <c r="E56" s="328">
        <f>('Delivery Rates'!$F$24*'Capacity Release Vols'!P10)*-1</f>
        <v>-12542.246599999999</v>
      </c>
      <c r="F56" s="328">
        <f>('Delivery Rates'!$F$24*'Capacity Release Vols'!P11)*-1</f>
        <v>-10248.732</v>
      </c>
      <c r="G56" s="328">
        <f>('Delivery Rates'!$F$24*'Capacity Release Vols'!P12)*-1</f>
        <v>-8535.2175999999999</v>
      </c>
      <c r="H56" s="328">
        <f>('Delivery Rates'!$F$24*'Capacity Release Vols'!P13)*-1</f>
        <v>-8021.9879999999994</v>
      </c>
      <c r="I56" s="328">
        <f>('Delivery Rates'!$F$24*'Capacity Release Vols'!P14)*-1</f>
        <v>-6922.5727999999999</v>
      </c>
      <c r="J56" s="328">
        <f>('Delivery Rates'!$F$24*'Capacity Release Vols'!P15)*-1</f>
        <v>-7202.8189999999995</v>
      </c>
      <c r="K56" s="328">
        <f>('Delivery Rates'!$F$24*'Capacity Release Vols'!P16)*-1</f>
        <v>-8183.7599999999993</v>
      </c>
      <c r="L56" s="328">
        <f>('Delivery Rates'!$F$24*'Capacity Release Vols'!P17)*-1</f>
        <v>-8864.6297999999988</v>
      </c>
      <c r="M56" s="328">
        <f>('Delivery Rates'!$F$24*'Capacity Release Vols'!P6)*-1</f>
        <v>-11737.985999999999</v>
      </c>
      <c r="N56" s="161">
        <f t="shared" si="24"/>
        <v>-125867.97339999999</v>
      </c>
      <c r="P56" s="42">
        <f>('Capacity Release Vols'!P18*'Delivery Rates'!F24)*-1</f>
        <v>-125867.97339999999</v>
      </c>
      <c r="Q56" s="9">
        <f t="shared" si="1"/>
        <v>0</v>
      </c>
    </row>
    <row r="57" spans="1:17" s="50" customFormat="1" ht="15.75" thickBot="1">
      <c r="A57" s="329" t="s">
        <v>78</v>
      </c>
      <c r="B57" s="56">
        <f>SUM(B50:B56)</f>
        <v>210599.32460000002</v>
      </c>
      <c r="C57" s="56">
        <f t="shared" ref="C57:M57" si="25">SUM(C50:C56)</f>
        <v>201338.55820000003</v>
      </c>
      <c r="D57" s="56">
        <f t="shared" si="25"/>
        <v>180741.74720000001</v>
      </c>
      <c r="E57" s="56">
        <f t="shared" si="25"/>
        <v>210150.03539999999</v>
      </c>
      <c r="F57" s="56">
        <f t="shared" si="25"/>
        <v>207946.89600000001</v>
      </c>
      <c r="G57" s="56">
        <f t="shared" si="25"/>
        <v>219862.08120000002</v>
      </c>
      <c r="H57" s="56">
        <f t="shared" si="25"/>
        <v>213348.53999999998</v>
      </c>
      <c r="I57" s="56">
        <f t="shared" si="25"/>
        <v>223774.69040000002</v>
      </c>
      <c r="J57" s="56">
        <f t="shared" si="25"/>
        <v>223093.84980000003</v>
      </c>
      <c r="K57" s="56">
        <f t="shared" si="25"/>
        <v>212952.82799999998</v>
      </c>
      <c r="L57" s="56">
        <f t="shared" si="25"/>
        <v>219063.00660000002</v>
      </c>
      <c r="M57" s="56">
        <f t="shared" si="25"/>
        <v>204345.49799999999</v>
      </c>
      <c r="N57" s="152">
        <f>SUM(N50:N56)</f>
        <v>2527217.0554</v>
      </c>
      <c r="P57" s="42">
        <f>SUM(P50:P56)</f>
        <v>2527217.0554</v>
      </c>
      <c r="Q57" s="9">
        <f t="shared" si="1"/>
        <v>0</v>
      </c>
    </row>
    <row r="58" spans="1:17" ht="15.75" thickTop="1">
      <c r="A58" s="303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330"/>
      <c r="P58" s="42"/>
      <c r="Q58" s="9"/>
    </row>
    <row r="59" spans="1:17">
      <c r="A59" s="323" t="s">
        <v>79</v>
      </c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330"/>
      <c r="Q59" s="9"/>
    </row>
    <row r="60" spans="1:17">
      <c r="A60" s="324" t="s">
        <v>164</v>
      </c>
      <c r="B60" s="52">
        <f>(-B27*'Delivery Rates'!$F$12)</f>
        <v>613.79999999999995</v>
      </c>
      <c r="C60" s="52">
        <f>(-C27*'Delivery Rates'!$F$12)</f>
        <v>1023</v>
      </c>
      <c r="D60" s="52">
        <f>(-D27*'Delivery Rates'!$F$12)</f>
        <v>628.32000000000005</v>
      </c>
      <c r="E60" s="52">
        <f>(-E27*'Delivery Rates'!$F$12)</f>
        <v>818.4</v>
      </c>
      <c r="F60" s="52">
        <f>(-F27*'Delivery Rates'!$F$12)</f>
        <v>0</v>
      </c>
      <c r="G60" s="52">
        <f>(-G27*'Delivery Rates'!$F$12)</f>
        <v>0</v>
      </c>
      <c r="H60" s="52">
        <f>(-H27*'Delivery Rates'!$F$12)</f>
        <v>0</v>
      </c>
      <c r="I60" s="52">
        <f>(-I27*'Delivery Rates'!$F$12)</f>
        <v>0</v>
      </c>
      <c r="J60" s="52">
        <f>(-J27*'Delivery Rates'!$F$12)</f>
        <v>0</v>
      </c>
      <c r="K60" s="52">
        <f>(-K27*'Delivery Rates'!$F$12)</f>
        <v>0</v>
      </c>
      <c r="L60" s="52">
        <f>(-L27*'Delivery Rates'!$F$12)</f>
        <v>0</v>
      </c>
      <c r="M60" s="52">
        <f>(-M27*'Delivery Rates'!$F$12)</f>
        <v>198</v>
      </c>
      <c r="N60" s="162">
        <f t="shared" ref="N60:N66" si="26">SUM(B60:M60)</f>
        <v>3281.52</v>
      </c>
      <c r="P60" s="42">
        <f>B60+C60+D60+E60+F60+G60+H60+I60+J60+K60+L60+M60</f>
        <v>3281.52</v>
      </c>
      <c r="Q60" s="9">
        <f t="shared" si="1"/>
        <v>0</v>
      </c>
    </row>
    <row r="61" spans="1:17">
      <c r="A61" s="324" t="s">
        <v>80</v>
      </c>
      <c r="B61" s="304">
        <f>B42*'Delivery Rates'!$F$20</f>
        <v>918.87373157851323</v>
      </c>
      <c r="C61" s="304">
        <f>C42*'Delivery Rates'!$F$20</f>
        <v>757.29124757523743</v>
      </c>
      <c r="D61" s="304">
        <f>D42*'Delivery Rates'!$F$20</f>
        <v>700.73319831555114</v>
      </c>
      <c r="E61" s="304">
        <f>E42*'Delivery Rates'!$F$20</f>
        <v>1142.3349783182684</v>
      </c>
      <c r="F61" s="304">
        <f>F42*'Delivery Rates'!$F$20</f>
        <v>1178.4870167835193</v>
      </c>
      <c r="G61" s="304">
        <f>G42*'Delivery Rates'!$F$20</f>
        <v>663.72442888515775</v>
      </c>
      <c r="H61" s="304">
        <f>H42*'Delivery Rates'!$F$20</f>
        <v>449.27009436780043</v>
      </c>
      <c r="I61" s="304">
        <f>I42*'Delivery Rates'!$F$20</f>
        <v>425.54292804866134</v>
      </c>
      <c r="J61" s="304">
        <f>J42*'Delivery Rates'!$F$20</f>
        <v>427.80654744969928</v>
      </c>
      <c r="K61" s="304">
        <f>K42*'Delivery Rates'!$F$20</f>
        <v>539.6709273669893</v>
      </c>
      <c r="L61" s="304">
        <f>L42*'Delivery Rates'!$F$20</f>
        <v>1008.533225957131</v>
      </c>
      <c r="M61" s="304">
        <f>M42*'Delivery Rates'!$F$20</f>
        <v>1600.4798106208184</v>
      </c>
      <c r="N61" s="158">
        <f t="shared" si="26"/>
        <v>9812.7481352673458</v>
      </c>
      <c r="P61" s="42">
        <f>B61+C61+D61+E61+F61+G61+H61+I61+J61+K61+L61+M61</f>
        <v>9812.7481352673458</v>
      </c>
      <c r="Q61" s="9">
        <f t="shared" si="1"/>
        <v>0</v>
      </c>
    </row>
    <row r="62" spans="1:17">
      <c r="A62" s="324" t="s">
        <v>82</v>
      </c>
      <c r="B62" s="304">
        <f>(B$15*0.5)*'Delivery Rates'!$F$28</f>
        <v>1438.314298625462</v>
      </c>
      <c r="C62" s="304">
        <f>(C$15*0.5)*'Delivery Rates'!$F$28</f>
        <v>1548.8569500239487</v>
      </c>
      <c r="D62" s="304">
        <f>(D$15*0.5)*'Delivery Rates'!$F$28</f>
        <v>1265.6631453920411</v>
      </c>
      <c r="E62" s="304">
        <f>(E$15*0.5)*'Delivery Rates'!$F$28</f>
        <v>1003.8645472377947</v>
      </c>
      <c r="F62" s="304">
        <f>(F$15*0.5)*'Delivery Rates'!$F$28</f>
        <v>629.47472560101687</v>
      </c>
      <c r="G62" s="304">
        <f>(G$15*0.5)*'Delivery Rates'!$F$28</f>
        <v>354.52045444461868</v>
      </c>
      <c r="H62" s="304">
        <f>(H$15*0.5)*'Delivery Rates'!$F$28</f>
        <v>239.97224012257695</v>
      </c>
      <c r="I62" s="304">
        <f>(I$15*0.5)*'Delivery Rates'!$F$28</f>
        <v>227.29865840693438</v>
      </c>
      <c r="J62" s="304">
        <f>(J$15*0.5)*'Delivery Rates'!$F$28</f>
        <v>228.50774359925364</v>
      </c>
      <c r="K62" s="304">
        <f>(K$15*0.5)*'Delivery Rates'!$F$28</f>
        <v>288.25876236325502</v>
      </c>
      <c r="L62" s="304">
        <f>(L$15*0.5)*'Delivery Rates'!$F$28</f>
        <v>538.69594372077029</v>
      </c>
      <c r="M62" s="304">
        <f>(M$15*0.5)*'Delivery Rates'!$F$28</f>
        <v>950.12712233793002</v>
      </c>
      <c r="N62" s="158">
        <f t="shared" si="26"/>
        <v>8713.5545918756034</v>
      </c>
      <c r="P62" s="42">
        <f>B62+C62+D62+E62+F62+G62+H62+I62+J62+K62+L62+M62</f>
        <v>8713.5545918756034</v>
      </c>
      <c r="Q62" s="9">
        <f t="shared" si="1"/>
        <v>0</v>
      </c>
    </row>
    <row r="63" spans="1:17">
      <c r="A63" s="324" t="s">
        <v>83</v>
      </c>
      <c r="B63" s="304">
        <f>(B$15*0.25)*'Delivery Rates'!$F$36</f>
        <v>719.15714931273101</v>
      </c>
      <c r="C63" s="304">
        <f>(C$15*0.25)*'Delivery Rates'!$F$36</f>
        <v>774.42847501197434</v>
      </c>
      <c r="D63" s="304">
        <f>(D$15*0.25)*'Delivery Rates'!$F$36</f>
        <v>632.83157269602054</v>
      </c>
      <c r="E63" s="304">
        <f>(E$15*0.25)*'Delivery Rates'!$F$36</f>
        <v>501.93227361889734</v>
      </c>
      <c r="F63" s="304">
        <f>(F$15*0.25)*'Delivery Rates'!$F$36</f>
        <v>314.73736280050844</v>
      </c>
      <c r="G63" s="304">
        <f>(G$15*0.25)*'Delivery Rates'!$F$36</f>
        <v>177.26022722230934</v>
      </c>
      <c r="H63" s="304">
        <f>(H$15*0.25)*'Delivery Rates'!$F$36</f>
        <v>119.98612006128847</v>
      </c>
      <c r="I63" s="304">
        <f>(I$15*0.25)*'Delivery Rates'!$F$36</f>
        <v>113.64932920346719</v>
      </c>
      <c r="J63" s="304">
        <f>(J$15*0.25)*'Delivery Rates'!$F$36</f>
        <v>114.25387179962682</v>
      </c>
      <c r="K63" s="304">
        <f>(K$15*0.25)*'Delivery Rates'!$F$36</f>
        <v>144.12938118162751</v>
      </c>
      <c r="L63" s="304">
        <f>(L$15*0.25)*'Delivery Rates'!$F$36</f>
        <v>269.34797186038514</v>
      </c>
      <c r="M63" s="304">
        <f>(M$15*0.25)*'Delivery Rates'!$F$36</f>
        <v>475.06356116896501</v>
      </c>
      <c r="N63" s="158">
        <f t="shared" si="26"/>
        <v>4356.7772959378017</v>
      </c>
      <c r="P63" s="42">
        <f>B63+C63+D63+E63+F63+G63+H63+I63+J63+K63+L63+M63</f>
        <v>4356.7772959378017</v>
      </c>
      <c r="Q63" s="9">
        <f t="shared" si="1"/>
        <v>0</v>
      </c>
    </row>
    <row r="64" spans="1:17">
      <c r="A64" s="324" t="s">
        <v>84</v>
      </c>
      <c r="B64" s="304">
        <f>(B$15*0.25)*'Delivery Rates'!$F$44</f>
        <v>719.15714931273101</v>
      </c>
      <c r="C64" s="304">
        <f>(C$15*0.25)*'Delivery Rates'!$F$44</f>
        <v>774.42847501197434</v>
      </c>
      <c r="D64" s="304">
        <f>(D$15*0.25)*'Delivery Rates'!$F$44</f>
        <v>632.83157269602054</v>
      </c>
      <c r="E64" s="304">
        <f>(E$15*0.25)*'Delivery Rates'!$F$44</f>
        <v>501.93227361889734</v>
      </c>
      <c r="F64" s="304">
        <f>(F$15*0.25)*'Delivery Rates'!$F$44</f>
        <v>314.73736280050844</v>
      </c>
      <c r="G64" s="304">
        <f>(G$15*0.25)*'Delivery Rates'!$F$44</f>
        <v>177.26022722230934</v>
      </c>
      <c r="H64" s="304">
        <f>(H$15*0.25)*'Delivery Rates'!$F$44</f>
        <v>119.98612006128847</v>
      </c>
      <c r="I64" s="304">
        <f>(I$15*0.25)*'Delivery Rates'!$F$44</f>
        <v>113.64932920346719</v>
      </c>
      <c r="J64" s="304">
        <f>(J$15*0.25)*'Delivery Rates'!$F$44</f>
        <v>114.25387179962682</v>
      </c>
      <c r="K64" s="304">
        <f>(K$15*0.25)*'Delivery Rates'!$F$44</f>
        <v>144.12938118162751</v>
      </c>
      <c r="L64" s="304">
        <f>(L$15*0.25)*'Delivery Rates'!$F$44</f>
        <v>269.34797186038514</v>
      </c>
      <c r="M64" s="304">
        <f>(M$15*0.25)*'Delivery Rates'!$F$44</f>
        <v>475.06356116896501</v>
      </c>
      <c r="N64" s="158">
        <f t="shared" si="26"/>
        <v>4356.7772959378017</v>
      </c>
      <c r="P64" s="42">
        <f>B64+C64+D64+E64+F64+G64+H64+I64+J64+K64+L64+M64</f>
        <v>4356.7772959378017</v>
      </c>
      <c r="Q64" s="9">
        <f t="shared" si="1"/>
        <v>0</v>
      </c>
    </row>
    <row r="65" spans="1:17" ht="15.75" thickBot="1">
      <c r="A65" s="329" t="s">
        <v>85</v>
      </c>
      <c r="B65" s="56">
        <f>SUM(B60:B64)</f>
        <v>4409.3023288294371</v>
      </c>
      <c r="C65" s="56">
        <f t="shared" ref="C65:M65" si="27">SUM(C60:C64)</f>
        <v>4878.0051476231347</v>
      </c>
      <c r="D65" s="56">
        <f t="shared" si="27"/>
        <v>3860.3794890996332</v>
      </c>
      <c r="E65" s="56">
        <f t="shared" si="27"/>
        <v>3968.4640727938581</v>
      </c>
      <c r="F65" s="56">
        <f t="shared" si="27"/>
        <v>2437.436467985553</v>
      </c>
      <c r="G65" s="56">
        <f t="shared" si="27"/>
        <v>1372.7653377743952</v>
      </c>
      <c r="H65" s="56">
        <f t="shared" si="27"/>
        <v>929.21457461295438</v>
      </c>
      <c r="I65" s="56">
        <f t="shared" si="27"/>
        <v>880.14024486253015</v>
      </c>
      <c r="J65" s="56">
        <f t="shared" si="27"/>
        <v>884.82203464820657</v>
      </c>
      <c r="K65" s="56">
        <f t="shared" si="27"/>
        <v>1116.1884520934993</v>
      </c>
      <c r="L65" s="56">
        <f t="shared" si="27"/>
        <v>2085.9251133986713</v>
      </c>
      <c r="M65" s="56">
        <f t="shared" si="27"/>
        <v>3698.7340552966784</v>
      </c>
      <c r="N65" s="152">
        <f t="shared" si="26"/>
        <v>30521.377319018549</v>
      </c>
      <c r="P65" s="42">
        <f>SUM(N60:N64)</f>
        <v>30521.377319018553</v>
      </c>
      <c r="Q65" s="9">
        <f t="shared" si="1"/>
        <v>0</v>
      </c>
    </row>
    <row r="66" spans="1:17" ht="16.5" thickTop="1" thickBot="1">
      <c r="A66" s="320" t="s">
        <v>162</v>
      </c>
      <c r="B66" s="321">
        <f>B57+B65</f>
        <v>215008.62692882947</v>
      </c>
      <c r="C66" s="321">
        <f t="shared" ref="C66:M66" si="28">C57+C65</f>
        <v>206216.56334762316</v>
      </c>
      <c r="D66" s="321">
        <f t="shared" si="28"/>
        <v>184602.12668909965</v>
      </c>
      <c r="E66" s="321">
        <f t="shared" si="28"/>
        <v>214118.49947279386</v>
      </c>
      <c r="F66" s="321">
        <f t="shared" si="28"/>
        <v>210384.33246798557</v>
      </c>
      <c r="G66" s="321">
        <f t="shared" si="28"/>
        <v>221234.8465377744</v>
      </c>
      <c r="H66" s="321">
        <f t="shared" si="28"/>
        <v>214277.75457461295</v>
      </c>
      <c r="I66" s="321">
        <f t="shared" si="28"/>
        <v>224654.83064486255</v>
      </c>
      <c r="J66" s="321">
        <f t="shared" si="28"/>
        <v>223978.67183464824</v>
      </c>
      <c r="K66" s="321">
        <f t="shared" si="28"/>
        <v>214069.01645209349</v>
      </c>
      <c r="L66" s="321">
        <f t="shared" si="28"/>
        <v>221148.93171339869</v>
      </c>
      <c r="M66" s="321">
        <f t="shared" si="28"/>
        <v>208044.23205529668</v>
      </c>
      <c r="N66" s="158">
        <f t="shared" si="26"/>
        <v>2557738.4327190188</v>
      </c>
      <c r="P66" s="42">
        <f>+N65+N57</f>
        <v>2557738.4327190183</v>
      </c>
      <c r="Q66" s="9">
        <f t="shared" si="1"/>
        <v>0</v>
      </c>
    </row>
    <row r="67" spans="1:17" ht="15.75" thickBot="1">
      <c r="A67" s="322" t="s">
        <v>163</v>
      </c>
      <c r="B67" s="58">
        <f>B66/B15</f>
        <v>0.94923952456207439</v>
      </c>
      <c r="C67" s="58">
        <f t="shared" ref="C67:M67" si="29">C66/C15</f>
        <v>0.84544617063387273</v>
      </c>
      <c r="D67" s="58">
        <f t="shared" si="29"/>
        <v>0.92617337302073743</v>
      </c>
      <c r="E67" s="58">
        <f t="shared" si="29"/>
        <v>1.3544182583132578</v>
      </c>
      <c r="F67" s="58">
        <f t="shared" si="29"/>
        <v>2.1223100099788188</v>
      </c>
      <c r="G67" s="58">
        <f t="shared" si="29"/>
        <v>3.9626522472889478</v>
      </c>
      <c r="H67" s="58">
        <f t="shared" si="29"/>
        <v>5.6700880937468856</v>
      </c>
      <c r="I67" s="58">
        <f t="shared" si="29"/>
        <v>6.2761398795451759</v>
      </c>
      <c r="J67" s="58">
        <f t="shared" si="29"/>
        <v>6.2241416581676914</v>
      </c>
      <c r="K67" s="58">
        <f t="shared" si="29"/>
        <v>4.7156875417295954</v>
      </c>
      <c r="L67" s="58">
        <f t="shared" si="29"/>
        <v>2.6068429375588349</v>
      </c>
      <c r="M67" s="58">
        <f t="shared" si="29"/>
        <v>1.3904253888684039</v>
      </c>
      <c r="N67" s="149">
        <f>N66/N15</f>
        <v>1.8639510289990318</v>
      </c>
      <c r="Q67" s="9"/>
    </row>
    <row r="68" spans="1:17">
      <c r="Q68" s="9"/>
    </row>
    <row r="69" spans="1:17" ht="22.5">
      <c r="A69" s="353" t="s">
        <v>87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P69" s="123" t="s">
        <v>139</v>
      </c>
      <c r="Q69" s="36" t="s">
        <v>193</v>
      </c>
    </row>
    <row r="70" spans="1:17" ht="15.75" thickBot="1">
      <c r="A70" s="53" t="s">
        <v>86</v>
      </c>
      <c r="B70" s="54">
        <f>B45+B66</f>
        <v>1169379.1502807606</v>
      </c>
      <c r="C70" s="54">
        <f t="shared" ref="C70:M70" si="30">C45+C66</f>
        <v>1240246.6575173438</v>
      </c>
      <c r="D70" s="54">
        <f t="shared" si="30"/>
        <v>1030653.8202074654</v>
      </c>
      <c r="E70" s="54">
        <f t="shared" si="30"/>
        <v>857662.30775454955</v>
      </c>
      <c r="F70" s="54">
        <f t="shared" si="30"/>
        <v>567994.18583677767</v>
      </c>
      <c r="G70" s="54">
        <f t="shared" si="30"/>
        <v>421210.43955101806</v>
      </c>
      <c r="H70" s="54">
        <f t="shared" si="30"/>
        <v>350607.99010691105</v>
      </c>
      <c r="I70" s="54">
        <f t="shared" si="30"/>
        <v>354995.6947273534</v>
      </c>
      <c r="J70" s="54">
        <f t="shared" si="30"/>
        <v>355492.30530065065</v>
      </c>
      <c r="K70" s="54">
        <f t="shared" si="30"/>
        <v>379459.54634775268</v>
      </c>
      <c r="L70" s="54">
        <f t="shared" si="30"/>
        <v>533620.34672115115</v>
      </c>
      <c r="M70" s="54">
        <f t="shared" si="30"/>
        <v>795848.14718925534</v>
      </c>
      <c r="N70" s="162">
        <f>SUM(B70:M70)</f>
        <v>8057170.5915409885</v>
      </c>
      <c r="P70" s="169">
        <f>P45+P66</f>
        <v>8057170.5915409885</v>
      </c>
      <c r="Q70" s="9">
        <f t="shared" si="1"/>
        <v>0</v>
      </c>
    </row>
    <row r="71" spans="1:17" ht="15.75" thickBot="1">
      <c r="A71" s="57" t="s">
        <v>71</v>
      </c>
      <c r="B71" s="58">
        <f t="shared" ref="B71:N71" si="31">B70/B15</f>
        <v>5.1626807933280858</v>
      </c>
      <c r="C71" s="58">
        <f t="shared" si="31"/>
        <v>5.084760264731587</v>
      </c>
      <c r="D71" s="58">
        <f t="shared" si="31"/>
        <v>5.1709270212574525</v>
      </c>
      <c r="E71" s="58">
        <f t="shared" si="31"/>
        <v>5.4251897521701284</v>
      </c>
      <c r="F71" s="58">
        <f t="shared" si="31"/>
        <v>5.7297980893829106</v>
      </c>
      <c r="G71" s="58">
        <f t="shared" si="31"/>
        <v>7.5445189624927265</v>
      </c>
      <c r="H71" s="58">
        <f t="shared" si="31"/>
        <v>9.2775761731509778</v>
      </c>
      <c r="I71" s="58">
        <f t="shared" si="31"/>
        <v>9.9174481596936808</v>
      </c>
      <c r="J71" s="58">
        <f t="shared" si="31"/>
        <v>9.8787730477003617</v>
      </c>
      <c r="K71" s="58">
        <f t="shared" si="31"/>
        <v>8.3590455310141252</v>
      </c>
      <c r="L71" s="58">
        <f t="shared" si="31"/>
        <v>6.2901702549958536</v>
      </c>
      <c r="M71" s="58">
        <f t="shared" si="31"/>
        <v>5.3189048242476691</v>
      </c>
      <c r="N71" s="149">
        <f t="shared" si="31"/>
        <v>5.8716603788755712</v>
      </c>
      <c r="P71" s="168">
        <f>P70/P13</f>
        <v>5.8716603788755721</v>
      </c>
      <c r="Q71" s="9">
        <f t="shared" si="1"/>
        <v>0</v>
      </c>
    </row>
    <row r="72" spans="1:17" ht="15.75" thickBot="1">
      <c r="A72" s="57" t="s">
        <v>98</v>
      </c>
      <c r="B72" s="58">
        <f>B70/(B15/'Btu Factor Calculations'!D7)</f>
        <v>5.2889386293840399</v>
      </c>
      <c r="C72" s="58">
        <f>C70/(C15/'Btu Factor Calculations'!D8)</f>
        <v>5.2146967463534502</v>
      </c>
      <c r="D72" s="58">
        <f>D70/(D15/'Btu Factor Calculations'!D9)</f>
        <v>5.290381731235744</v>
      </c>
      <c r="E72" s="58">
        <f>E70/(E15/'Btu Factor Calculations'!D10)</f>
        <v>5.5362982587125416</v>
      </c>
      <c r="F72" s="58">
        <f>F70/(F15/'Btu Factor Calculations'!D11)</f>
        <v>5.8478172554432755</v>
      </c>
      <c r="G72" s="58">
        <f>G70/(G15/'Btu Factor Calculations'!D12)</f>
        <v>7.7092375561207653</v>
      </c>
      <c r="H72" s="58">
        <f>H70/(H15/'Btu Factor Calculations'!D13)</f>
        <v>9.482999555780907</v>
      </c>
      <c r="I72" s="58">
        <f>I70/(I15/'Btu Factor Calculations'!D14)</f>
        <v>10.079790590847734</v>
      </c>
      <c r="J72" s="58">
        <f>J70/(J15/'Btu Factor Calculations'!D15)</f>
        <v>10.033315468982737</v>
      </c>
      <c r="K72" s="58">
        <f>K70/(K15/'Btu Factor Calculations'!D16)</f>
        <v>8.4838133446629413</v>
      </c>
      <c r="L72" s="58">
        <f>L70/(L15/'Btu Factor Calculations'!D5)</f>
        <v>6.4280500262693829</v>
      </c>
      <c r="M72" s="58">
        <f>M70/(M15/'Btu Factor Calculations'!D6)</f>
        <v>5.4212295416062863</v>
      </c>
      <c r="N72" s="149">
        <f>N70/N16</f>
        <v>6.0011698134522486</v>
      </c>
      <c r="P72" s="168">
        <f>P70/P16</f>
        <v>6.0011496376037963</v>
      </c>
      <c r="Q72" s="9">
        <f t="shared" si="1"/>
        <v>2.0175848452375078E-5</v>
      </c>
    </row>
    <row r="73" spans="1:17" ht="15.75" thickBot="1">
      <c r="Q73" s="143">
        <f>SUM(Q7:Q13)+SUM(Q20:Q46)+SUM(Q50:Q66)+SUM(Q70:Q72)</f>
        <v>2.0175848452375078E-5</v>
      </c>
    </row>
    <row r="74" spans="1:17" ht="16.5" thickTop="1" thickBot="1">
      <c r="A74" s="53" t="s">
        <v>108</v>
      </c>
      <c r="F74" s="115">
        <f>+N71</f>
        <v>5.8716603788755712</v>
      </c>
    </row>
    <row r="75" spans="1:17" ht="15.75" thickBot="1">
      <c r="A75" s="53" t="s">
        <v>109</v>
      </c>
      <c r="F75" s="115">
        <f>+N72</f>
        <v>6.0011698134522486</v>
      </c>
    </row>
    <row r="78" spans="1:17">
      <c r="A78" s="60" t="s">
        <v>90</v>
      </c>
      <c r="B78" s="355" t="s">
        <v>195</v>
      </c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</row>
    <row r="79" spans="1:17">
      <c r="B79" s="355" t="s">
        <v>196</v>
      </c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</row>
    <row r="80" spans="1:17">
      <c r="B80" s="355" t="s">
        <v>197</v>
      </c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</row>
    <row r="81" spans="1:14">
      <c r="B81" s="355" t="s">
        <v>237</v>
      </c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</row>
    <row r="82" spans="1:14">
      <c r="B82" s="248" t="s">
        <v>180</v>
      </c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</row>
    <row r="83" spans="1:14">
      <c r="B83" s="248" t="s">
        <v>212</v>
      </c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</row>
    <row r="85" spans="1:14">
      <c r="A85" s="55" t="s">
        <v>181</v>
      </c>
      <c r="B85" s="126" t="s">
        <v>140</v>
      </c>
    </row>
    <row r="86" spans="1:14">
      <c r="B86" s="126" t="s">
        <v>141</v>
      </c>
    </row>
    <row r="87" spans="1:14">
      <c r="A87" s="55"/>
      <c r="B87" s="126" t="s">
        <v>142</v>
      </c>
    </row>
  </sheetData>
  <mergeCells count="11">
    <mergeCell ref="A5:N5"/>
    <mergeCell ref="A18:N18"/>
    <mergeCell ref="A48:N48"/>
    <mergeCell ref="A1:N1"/>
    <mergeCell ref="B81:N81"/>
    <mergeCell ref="A2:N2"/>
    <mergeCell ref="A3:N3"/>
    <mergeCell ref="A69:N69"/>
    <mergeCell ref="B78:N78"/>
    <mergeCell ref="B79:N79"/>
    <mergeCell ref="B80:N80"/>
  </mergeCells>
  <phoneticPr fontId="6" type="noConversion"/>
  <printOptions horizontalCentered="1"/>
  <pageMargins left="0.25" right="0.25" top="0.25" bottom="0.25" header="0.5" footer="0.5"/>
  <pageSetup scale="44" orientation="landscape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19" workbookViewId="0">
      <selection activeCell="I30" sqref="I30"/>
    </sheetView>
  </sheetViews>
  <sheetFormatPr defaultRowHeight="15"/>
  <cols>
    <col min="5" max="5" width="22.85546875" customWidth="1"/>
    <col min="7" max="7" width="12.5703125" customWidth="1"/>
    <col min="10" max="10" width="11.28515625" customWidth="1"/>
  </cols>
  <sheetData>
    <row r="1" spans="1:14" ht="18">
      <c r="A1" s="74" t="s">
        <v>252</v>
      </c>
      <c r="B1" s="74"/>
      <c r="C1" s="74"/>
      <c r="D1" s="74"/>
      <c r="E1" s="74"/>
      <c r="F1" s="74"/>
      <c r="G1" s="74"/>
      <c r="H1" s="78"/>
      <c r="I1" s="78"/>
      <c r="J1" s="78"/>
      <c r="K1" s="78"/>
      <c r="L1" s="79"/>
      <c r="M1" s="79"/>
      <c r="N1" s="79"/>
    </row>
    <row r="2" spans="1:14" ht="18">
      <c r="A2" s="74" t="s">
        <v>241</v>
      </c>
      <c r="B2" s="74"/>
      <c r="C2" s="74"/>
      <c r="D2" s="74"/>
      <c r="E2" s="74"/>
      <c r="F2" s="74"/>
      <c r="G2" s="74"/>
      <c r="H2" s="78"/>
      <c r="I2" s="78"/>
      <c r="J2" s="78"/>
      <c r="K2" s="78"/>
      <c r="L2" s="79"/>
      <c r="M2" s="79"/>
      <c r="N2" s="79"/>
    </row>
    <row r="3" spans="1:14" ht="18">
      <c r="A3" s="74" t="s">
        <v>160</v>
      </c>
      <c r="B3" s="74"/>
      <c r="C3" s="74"/>
      <c r="D3" s="74"/>
      <c r="E3" s="74"/>
      <c r="F3" s="74"/>
      <c r="G3" s="74"/>
      <c r="H3" s="78"/>
      <c r="I3" s="78"/>
      <c r="J3" s="78"/>
      <c r="K3" s="78"/>
      <c r="L3" s="79"/>
      <c r="M3" s="79"/>
      <c r="N3" s="79"/>
    </row>
    <row r="4" spans="1:14" ht="18">
      <c r="A4" s="74" t="s">
        <v>110</v>
      </c>
      <c r="B4" s="74"/>
      <c r="C4" s="74"/>
      <c r="D4" s="74"/>
      <c r="E4" s="74"/>
      <c r="F4" s="74"/>
      <c r="G4" s="74"/>
      <c r="H4" s="78"/>
      <c r="I4" s="78"/>
      <c r="J4" s="78"/>
      <c r="K4" s="78"/>
      <c r="L4" s="79"/>
      <c r="M4" s="79"/>
      <c r="N4" s="79"/>
    </row>
    <row r="5" spans="1:1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>
      <c r="A6" s="71"/>
      <c r="B6" s="71"/>
      <c r="C6" s="71"/>
      <c r="D6" s="71"/>
      <c r="E6" s="68"/>
      <c r="F6" s="68"/>
      <c r="G6" s="71"/>
      <c r="H6" s="76"/>
      <c r="I6" s="76"/>
      <c r="J6" s="76"/>
      <c r="K6" s="76"/>
      <c r="L6" s="71"/>
      <c r="M6" s="71"/>
      <c r="N6" s="71"/>
    </row>
    <row r="7" spans="1:14">
      <c r="A7" s="71"/>
      <c r="B7" s="71"/>
      <c r="C7" s="71"/>
      <c r="D7" s="71"/>
      <c r="E7" s="80"/>
      <c r="F7" s="68"/>
      <c r="G7" s="72" t="s">
        <v>111</v>
      </c>
      <c r="H7" s="359"/>
      <c r="I7" s="359"/>
      <c r="J7" s="359"/>
      <c r="K7" s="359"/>
      <c r="L7" s="71"/>
      <c r="M7" s="71"/>
      <c r="N7" s="71"/>
    </row>
    <row r="8" spans="1:14">
      <c r="A8" s="71"/>
      <c r="B8" s="71"/>
      <c r="C8" s="71"/>
      <c r="D8" s="71"/>
      <c r="E8" s="80"/>
      <c r="F8" s="68"/>
      <c r="G8" s="72" t="s">
        <v>112</v>
      </c>
      <c r="H8" s="70"/>
      <c r="I8" s="70"/>
      <c r="J8" s="70"/>
      <c r="K8" s="70"/>
      <c r="L8" s="71"/>
      <c r="M8" s="71"/>
      <c r="N8" s="71"/>
    </row>
    <row r="9" spans="1:14" ht="15.75" thickBot="1">
      <c r="A9" s="71"/>
      <c r="B9" s="71"/>
      <c r="C9" s="71"/>
      <c r="D9" s="71"/>
      <c r="E9" s="80"/>
      <c r="F9" s="68"/>
      <c r="G9" s="73" t="s">
        <v>113</v>
      </c>
      <c r="H9" s="70"/>
      <c r="I9" s="70"/>
      <c r="J9" s="70"/>
      <c r="K9" s="80"/>
      <c r="L9" s="71"/>
      <c r="M9" s="71"/>
      <c r="N9" s="71"/>
    </row>
    <row r="10" spans="1:14">
      <c r="A10" s="71"/>
      <c r="B10" s="71"/>
      <c r="C10" s="71"/>
      <c r="D10" s="71"/>
      <c r="E10" s="68"/>
      <c r="F10" s="68"/>
      <c r="G10" s="71"/>
      <c r="H10" s="76"/>
      <c r="I10" s="76"/>
      <c r="J10" s="76"/>
      <c r="K10" s="76"/>
      <c r="L10" s="71"/>
      <c r="M10" s="71"/>
      <c r="N10" s="71"/>
    </row>
    <row r="11" spans="1:14">
      <c r="A11" s="121" t="s">
        <v>242</v>
      </c>
      <c r="B11" s="71"/>
      <c r="C11" s="71"/>
      <c r="D11" s="71"/>
      <c r="E11" s="94"/>
      <c r="F11" s="68"/>
      <c r="G11" s="331">
        <v>-24408.02</v>
      </c>
      <c r="H11" s="76"/>
      <c r="I11" s="76"/>
      <c r="K11" s="76"/>
      <c r="L11" s="71"/>
      <c r="M11" s="71"/>
      <c r="N11" s="71"/>
    </row>
    <row r="12" spans="1:14">
      <c r="A12" s="71" t="s">
        <v>24</v>
      </c>
      <c r="B12" s="71"/>
      <c r="C12" s="71"/>
      <c r="D12" s="71"/>
      <c r="E12" s="69"/>
      <c r="F12" s="68"/>
      <c r="G12" s="332">
        <v>-17019.16</v>
      </c>
      <c r="H12" s="81"/>
      <c r="I12" s="82"/>
      <c r="K12" s="83"/>
      <c r="L12" s="71"/>
      <c r="M12" s="71"/>
      <c r="N12" s="71"/>
    </row>
    <row r="13" spans="1:14">
      <c r="A13" s="71" t="s">
        <v>25</v>
      </c>
      <c r="B13" s="71"/>
      <c r="C13" s="71"/>
      <c r="D13" s="71"/>
      <c r="E13" s="69"/>
      <c r="F13" s="68"/>
      <c r="G13" s="332">
        <v>84902.51</v>
      </c>
      <c r="H13" s="81"/>
      <c r="I13" s="84"/>
      <c r="K13" s="84"/>
      <c r="L13" s="71"/>
      <c r="M13" s="71"/>
      <c r="N13" s="71"/>
    </row>
    <row r="14" spans="1:14">
      <c r="A14" s="71" t="s">
        <v>26</v>
      </c>
      <c r="B14" s="71"/>
      <c r="C14" s="71"/>
      <c r="D14" s="71"/>
      <c r="E14" s="69"/>
      <c r="F14" s="68"/>
      <c r="G14" s="332">
        <v>263053.31</v>
      </c>
      <c r="H14" s="81"/>
      <c r="I14" s="84"/>
      <c r="K14" s="84"/>
      <c r="L14" s="71"/>
      <c r="M14" s="71"/>
      <c r="N14" s="71"/>
    </row>
    <row r="15" spans="1:14">
      <c r="A15" s="71" t="s">
        <v>15</v>
      </c>
      <c r="B15" s="71"/>
      <c r="C15" s="71"/>
      <c r="D15" s="71"/>
      <c r="E15" s="69"/>
      <c r="F15" s="68"/>
      <c r="G15" s="332">
        <v>475361.62</v>
      </c>
      <c r="H15" s="81"/>
      <c r="I15" s="84"/>
      <c r="K15" s="84"/>
      <c r="L15" s="71"/>
      <c r="M15" s="71"/>
      <c r="N15" s="71"/>
    </row>
    <row r="16" spans="1:14">
      <c r="A16" s="121" t="s">
        <v>243</v>
      </c>
      <c r="B16" s="71"/>
      <c r="C16" s="71"/>
      <c r="D16" s="71"/>
      <c r="E16" s="69"/>
      <c r="F16" s="68"/>
      <c r="G16" s="332">
        <v>573210.06999999995</v>
      </c>
      <c r="H16" s="81"/>
      <c r="I16" s="84"/>
      <c r="K16" s="84"/>
      <c r="L16" s="71"/>
      <c r="M16" s="71"/>
      <c r="N16" s="71"/>
    </row>
    <row r="17" spans="1:11">
      <c r="A17" s="71" t="s">
        <v>17</v>
      </c>
      <c r="B17" s="71"/>
      <c r="C17" s="71"/>
      <c r="D17" s="71"/>
      <c r="E17" s="69"/>
      <c r="F17" s="68"/>
      <c r="G17" s="332">
        <v>629820.49</v>
      </c>
      <c r="H17" s="81"/>
      <c r="I17" s="84"/>
      <c r="K17" s="84"/>
    </row>
    <row r="18" spans="1:11">
      <c r="A18" s="71" t="s">
        <v>18</v>
      </c>
      <c r="B18" s="71"/>
      <c r="C18" s="71"/>
      <c r="D18" s="71"/>
      <c r="E18" s="69"/>
      <c r="F18" s="68"/>
      <c r="G18" s="332">
        <v>719293.05</v>
      </c>
      <c r="H18" s="81"/>
      <c r="I18" s="84"/>
      <c r="K18" s="84"/>
    </row>
    <row r="19" spans="1:11">
      <c r="A19" s="71" t="s">
        <v>19</v>
      </c>
      <c r="B19" s="71"/>
      <c r="C19" s="71"/>
      <c r="D19" s="71"/>
      <c r="E19" s="69"/>
      <c r="F19" s="68"/>
      <c r="G19" s="332">
        <v>696871.2</v>
      </c>
      <c r="H19" s="81"/>
      <c r="I19" s="84"/>
      <c r="K19" s="84"/>
    </row>
    <row r="20" spans="1:11">
      <c r="A20" s="71" t="s">
        <v>20</v>
      </c>
      <c r="B20" s="71"/>
      <c r="C20" s="71"/>
      <c r="D20" s="71"/>
      <c r="E20" s="69"/>
      <c r="F20" s="68"/>
      <c r="G20" s="332">
        <v>560329.05000000005</v>
      </c>
      <c r="H20" s="81"/>
      <c r="I20" s="84"/>
      <c r="K20" s="84"/>
    </row>
    <row r="21" spans="1:11">
      <c r="A21" s="71" t="s">
        <v>21</v>
      </c>
      <c r="B21" s="71"/>
      <c r="C21" s="71"/>
      <c r="D21" s="71"/>
      <c r="E21" s="69"/>
      <c r="F21" s="68"/>
      <c r="G21" s="332">
        <v>664875.18000000005</v>
      </c>
      <c r="H21" s="81"/>
      <c r="I21" s="84"/>
      <c r="K21" s="84"/>
    </row>
    <row r="22" spans="1:11">
      <c r="A22" s="71" t="s">
        <v>22</v>
      </c>
      <c r="B22" s="71"/>
      <c r="C22" s="71"/>
      <c r="D22" s="71"/>
      <c r="E22" s="69"/>
      <c r="F22" s="68"/>
      <c r="G22" s="332">
        <v>775600.47</v>
      </c>
      <c r="H22" s="81"/>
      <c r="I22" s="84"/>
      <c r="K22" s="84"/>
    </row>
    <row r="23" spans="1:11">
      <c r="A23" s="71" t="s">
        <v>23</v>
      </c>
      <c r="B23" s="71"/>
      <c r="C23" s="71"/>
      <c r="D23" s="71"/>
      <c r="E23" s="69"/>
      <c r="F23" s="68"/>
      <c r="G23" s="332">
        <v>874446.26</v>
      </c>
      <c r="H23" s="81"/>
      <c r="I23" s="84"/>
      <c r="K23" s="84"/>
    </row>
    <row r="24" spans="1:11">
      <c r="A24" s="71"/>
      <c r="B24" s="71"/>
      <c r="C24" s="71"/>
      <c r="D24" s="71"/>
      <c r="E24" s="76"/>
      <c r="F24" s="76"/>
      <c r="G24" s="71"/>
      <c r="H24" s="76"/>
      <c r="I24" s="85"/>
      <c r="J24" s="85"/>
      <c r="K24" s="86"/>
    </row>
    <row r="25" spans="1:11">
      <c r="A25" s="71"/>
      <c r="B25" s="71"/>
      <c r="C25" s="71"/>
      <c r="D25" s="71"/>
      <c r="E25" s="71"/>
      <c r="F25" s="71"/>
      <c r="G25" s="71"/>
      <c r="H25" s="76"/>
      <c r="I25" s="76"/>
      <c r="J25" s="76"/>
      <c r="K25" s="76"/>
    </row>
    <row r="27" spans="1:11" ht="15.75" thickBot="1">
      <c r="A27" s="71" t="s">
        <v>114</v>
      </c>
      <c r="B27" s="71"/>
      <c r="C27" s="71"/>
      <c r="D27" s="71"/>
      <c r="E27" s="69"/>
      <c r="F27" s="87"/>
      <c r="G27" s="92">
        <f>+'Attachment 1'!N16</f>
        <v>1342600</v>
      </c>
      <c r="H27" s="71"/>
      <c r="I27" s="71"/>
      <c r="J27" s="71"/>
      <c r="K27" s="71"/>
    </row>
    <row r="28" spans="1:11">
      <c r="A28" s="71"/>
      <c r="B28" s="71"/>
      <c r="C28" s="71"/>
      <c r="D28" s="71"/>
      <c r="E28" s="76"/>
      <c r="F28" s="76"/>
      <c r="G28" s="71"/>
      <c r="H28" s="71"/>
      <c r="I28" s="71"/>
      <c r="J28" s="71"/>
      <c r="K28" s="71"/>
    </row>
    <row r="29" spans="1:11" ht="15.75" thickBot="1">
      <c r="A29" s="71" t="s">
        <v>240</v>
      </c>
      <c r="B29" s="71"/>
      <c r="C29" s="71"/>
      <c r="D29" s="71"/>
      <c r="E29" s="82"/>
      <c r="F29" s="89"/>
      <c r="G29" s="88">
        <f>+G23</f>
        <v>874446.26</v>
      </c>
      <c r="H29" s="71"/>
      <c r="I29" s="71"/>
      <c r="J29" s="71"/>
      <c r="K29" s="71"/>
    </row>
    <row r="30" spans="1:11" ht="15.75" thickTop="1">
      <c r="A30" s="76"/>
      <c r="B30" s="76"/>
      <c r="C30" s="76"/>
      <c r="D30" s="76"/>
      <c r="E30" s="90"/>
      <c r="F30" s="85"/>
      <c r="G30" s="90"/>
      <c r="H30" s="76"/>
      <c r="I30" s="76"/>
      <c r="J30" s="76"/>
      <c r="K30" s="76"/>
    </row>
    <row r="31" spans="1:11" ht="15.75" thickBot="1">
      <c r="A31" s="71" t="s">
        <v>167</v>
      </c>
      <c r="B31" s="71"/>
      <c r="C31" s="71"/>
      <c r="D31" s="71"/>
      <c r="E31" s="90"/>
      <c r="F31" s="91"/>
      <c r="G31" s="93">
        <f>+G29/G27/10</f>
        <v>6.5130810367942799E-2</v>
      </c>
      <c r="H31" s="71"/>
      <c r="I31" s="71"/>
      <c r="J31" s="71"/>
      <c r="K31" s="71"/>
    </row>
    <row r="32" spans="1:11" ht="15.75" thickTop="1">
      <c r="A32" s="71"/>
      <c r="B32" s="71"/>
      <c r="C32" s="71"/>
      <c r="D32" s="71"/>
    </row>
    <row r="33" spans="1:4">
      <c r="A33" s="71" t="s">
        <v>90</v>
      </c>
      <c r="B33" s="71" t="s">
        <v>115</v>
      </c>
      <c r="C33" s="71"/>
      <c r="D33" s="71"/>
    </row>
    <row r="34" spans="1:4">
      <c r="A34" s="71"/>
      <c r="B34" s="71" t="s">
        <v>247</v>
      </c>
      <c r="C34" s="71"/>
      <c r="D34" s="71"/>
    </row>
    <row r="36" spans="1:4">
      <c r="A36" s="71"/>
      <c r="B36" s="77"/>
      <c r="C36" s="75"/>
      <c r="D36" s="75"/>
    </row>
  </sheetData>
  <mergeCells count="1">
    <mergeCell ref="H7:K7"/>
  </mergeCells>
  <phoneticPr fontId="6" type="noConversion"/>
  <pageMargins left="0.7" right="0.7" top="0.75" bottom="0.75" header="0.3" footer="0.3"/>
  <pageSetup orientation="portrait" r:id="rId1"/>
  <headerFooter>
    <oddFooter>&amp;L&amp;F                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"/>
  <sheetViews>
    <sheetView zoomScale="70" zoomScaleNormal="70" workbookViewId="0">
      <selection activeCell="G22" sqref="G22"/>
    </sheetView>
  </sheetViews>
  <sheetFormatPr defaultRowHeight="15"/>
  <cols>
    <col min="1" max="1" width="12.42578125" customWidth="1"/>
    <col min="2" max="2" width="16.5703125" customWidth="1"/>
    <col min="3" max="3" width="15.5703125" customWidth="1"/>
    <col min="4" max="4" width="23" customWidth="1"/>
    <col min="5" max="5" width="19.42578125" customWidth="1"/>
  </cols>
  <sheetData>
    <row r="1" spans="1:8" ht="18">
      <c r="A1" s="74" t="s">
        <v>251</v>
      </c>
      <c r="B1" s="96"/>
      <c r="C1" s="96"/>
      <c r="D1" s="96"/>
      <c r="E1" s="96"/>
      <c r="F1" s="95"/>
      <c r="G1" s="95"/>
      <c r="H1" s="95"/>
    </row>
    <row r="2" spans="1:8" ht="18">
      <c r="A2" s="74" t="s">
        <v>250</v>
      </c>
      <c r="B2" s="96"/>
      <c r="C2" s="96"/>
      <c r="D2" s="96"/>
      <c r="E2" s="96"/>
      <c r="F2" s="95"/>
      <c r="G2" s="95"/>
      <c r="H2" s="95"/>
    </row>
    <row r="3" spans="1:8" ht="18">
      <c r="A3" s="360" t="s">
        <v>116</v>
      </c>
      <c r="B3" s="360"/>
      <c r="C3" s="360"/>
      <c r="D3" s="360"/>
      <c r="E3" s="360"/>
      <c r="F3" s="98"/>
      <c r="G3" s="95"/>
      <c r="H3" s="95"/>
    </row>
    <row r="4" spans="1:8" ht="18">
      <c r="A4" s="99"/>
      <c r="B4" s="98"/>
      <c r="C4" s="98"/>
      <c r="D4" s="98"/>
      <c r="E4" s="98"/>
      <c r="F4" s="98"/>
      <c r="G4" s="95"/>
      <c r="H4" s="95"/>
    </row>
    <row r="5" spans="1:8" ht="18">
      <c r="A5" s="98"/>
      <c r="B5" s="100" t="s">
        <v>117</v>
      </c>
      <c r="C5" s="100" t="s">
        <v>118</v>
      </c>
      <c r="D5" s="100"/>
      <c r="E5" s="98"/>
      <c r="F5" s="98"/>
      <c r="G5" s="95"/>
      <c r="H5" s="95"/>
    </row>
    <row r="6" spans="1:8" ht="18">
      <c r="A6" s="100"/>
      <c r="B6" s="100" t="s">
        <v>119</v>
      </c>
      <c r="C6" s="100" t="s">
        <v>119</v>
      </c>
      <c r="D6" s="100" t="s">
        <v>119</v>
      </c>
      <c r="E6" s="100" t="s">
        <v>120</v>
      </c>
      <c r="F6" s="100"/>
      <c r="G6" s="95"/>
      <c r="H6" s="95"/>
    </row>
    <row r="7" spans="1:8" ht="18.75" thickBot="1">
      <c r="A7" s="101" t="s">
        <v>97</v>
      </c>
      <c r="B7" s="101" t="s">
        <v>121</v>
      </c>
      <c r="C7" s="101" t="s">
        <v>121</v>
      </c>
      <c r="D7" s="101" t="s">
        <v>122</v>
      </c>
      <c r="E7" s="101" t="s">
        <v>123</v>
      </c>
      <c r="F7" s="189"/>
      <c r="G7" s="95"/>
      <c r="H7" s="95"/>
    </row>
    <row r="8" spans="1:8" ht="18">
      <c r="A8" s="102">
        <v>42004</v>
      </c>
      <c r="B8" s="186">
        <v>0.57540000000000002</v>
      </c>
      <c r="C8" s="187">
        <f>+'Attachment 1'!F75/10+'Attachment 2'!G31</f>
        <v>0.66524779171316761</v>
      </c>
      <c r="D8" s="188">
        <f>+C8-B8</f>
        <v>8.9847791713167591E-2</v>
      </c>
      <c r="E8" s="170">
        <f>+D8*'Attachment 1'!B16*10</f>
        <v>198652.56899989641</v>
      </c>
      <c r="F8" s="106"/>
      <c r="G8" s="95"/>
      <c r="H8" s="95"/>
    </row>
    <row r="9" spans="1:8" ht="18">
      <c r="A9" s="102">
        <v>42035</v>
      </c>
      <c r="B9" s="103">
        <f t="shared" ref="B9:D11" si="0">+B8</f>
        <v>0.57540000000000002</v>
      </c>
      <c r="C9" s="178">
        <f t="shared" si="0"/>
        <v>0.66524779171316761</v>
      </c>
      <c r="D9" s="116">
        <f t="shared" si="0"/>
        <v>8.9847791713167591E-2</v>
      </c>
      <c r="E9" s="170">
        <f>+D9*'Attachment 1'!C16*10</f>
        <v>213691.2923768464</v>
      </c>
      <c r="F9" s="106"/>
      <c r="G9" s="95"/>
      <c r="H9" s="95"/>
    </row>
    <row r="10" spans="1:8" ht="18">
      <c r="A10" s="102">
        <v>42063</v>
      </c>
      <c r="B10" s="103">
        <f t="shared" si="0"/>
        <v>0.57540000000000002</v>
      </c>
      <c r="C10" s="178">
        <f t="shared" si="0"/>
        <v>0.66524779171316761</v>
      </c>
      <c r="D10" s="116">
        <f t="shared" si="0"/>
        <v>8.9847791713167591E-2</v>
      </c>
      <c r="E10" s="170">
        <f>+D10*'Attachment 1'!D16*10</f>
        <v>175038.7723818417</v>
      </c>
      <c r="F10" s="106"/>
      <c r="G10" s="95"/>
      <c r="H10" s="95"/>
    </row>
    <row r="11" spans="1:8" ht="18">
      <c r="A11" s="102">
        <v>42094</v>
      </c>
      <c r="B11" s="103">
        <f t="shared" si="0"/>
        <v>0.57540000000000002</v>
      </c>
      <c r="C11" s="178">
        <f t="shared" si="0"/>
        <v>0.66524779171316761</v>
      </c>
      <c r="D11" s="116">
        <f t="shared" si="0"/>
        <v>8.9847791713167591E-2</v>
      </c>
      <c r="E11" s="170">
        <f>+D11*'Attachment 1'!E16*10</f>
        <v>139188.60501037069</v>
      </c>
      <c r="F11" s="106"/>
      <c r="G11" s="95"/>
      <c r="H11" s="95"/>
    </row>
    <row r="12" spans="1:8" ht="18">
      <c r="A12" s="102"/>
      <c r="B12" s="103"/>
      <c r="C12" s="179"/>
      <c r="D12" s="111"/>
      <c r="E12" s="110"/>
      <c r="F12" s="106"/>
      <c r="G12" s="95"/>
      <c r="H12" s="95"/>
    </row>
    <row r="13" spans="1:8" ht="18">
      <c r="A13" s="98"/>
      <c r="B13" s="98"/>
      <c r="C13" s="98"/>
      <c r="D13" s="104"/>
      <c r="E13" s="98"/>
      <c r="F13" s="98"/>
      <c r="G13" s="95"/>
      <c r="H13" s="95"/>
    </row>
    <row r="14" spans="1:8" ht="18.75" thickBot="1">
      <c r="A14" s="99" t="s">
        <v>124</v>
      </c>
      <c r="B14" s="99"/>
      <c r="C14" s="99"/>
      <c r="D14" s="99"/>
      <c r="E14" s="112">
        <f>SUM(E8:E11)</f>
        <v>726571.23876895523</v>
      </c>
      <c r="F14" s="107"/>
      <c r="G14" s="95"/>
      <c r="H14" s="95"/>
    </row>
    <row r="15" spans="1:8" ht="18.75" thickTop="1">
      <c r="A15" s="99"/>
      <c r="B15" s="99"/>
      <c r="C15" s="99"/>
      <c r="D15" s="99"/>
      <c r="E15" s="99"/>
      <c r="F15" s="99"/>
      <c r="G15" s="95"/>
      <c r="H15" s="95"/>
    </row>
    <row r="16" spans="1:8" ht="18.75" thickBot="1">
      <c r="A16" s="99" t="s">
        <v>125</v>
      </c>
      <c r="B16" s="99"/>
      <c r="C16" s="99"/>
      <c r="D16" s="99"/>
      <c r="E16" s="109">
        <f>+D11/B11</f>
        <v>0.15614840408962041</v>
      </c>
      <c r="F16" s="108"/>
      <c r="G16" s="95"/>
      <c r="H16" s="95"/>
    </row>
    <row r="17" spans="1:8" ht="18.75" thickTop="1">
      <c r="A17" s="98"/>
      <c r="B17" s="98"/>
      <c r="C17" s="98"/>
      <c r="D17" s="98"/>
      <c r="E17" s="98"/>
      <c r="F17" s="98"/>
      <c r="G17" s="95"/>
      <c r="H17" s="95"/>
    </row>
    <row r="18" spans="1:8" ht="18">
      <c r="A18" s="98"/>
      <c r="B18" s="98"/>
      <c r="C18" s="98"/>
      <c r="D18" s="98"/>
      <c r="E18" s="98"/>
      <c r="F18" s="98"/>
      <c r="G18" s="95"/>
      <c r="H18" s="95"/>
    </row>
    <row r="19" spans="1:8" ht="18.75" thickBot="1">
      <c r="A19" s="99" t="s">
        <v>126</v>
      </c>
      <c r="B19" s="99"/>
      <c r="C19" s="99"/>
      <c r="D19" s="99"/>
      <c r="E19" s="113">
        <f>+D11*C35</f>
        <v>8.9907858365043243</v>
      </c>
      <c r="F19" s="98"/>
      <c r="G19" s="95"/>
      <c r="H19" s="95"/>
    </row>
    <row r="20" spans="1:8" ht="18.75" thickTop="1">
      <c r="A20" s="98"/>
      <c r="B20" s="98"/>
      <c r="C20" s="98"/>
      <c r="D20" s="98"/>
      <c r="E20" s="98"/>
      <c r="F20" s="98"/>
      <c r="G20" s="95"/>
      <c r="H20" s="95"/>
    </row>
    <row r="21" spans="1:8" ht="18">
      <c r="A21" s="98"/>
      <c r="B21" s="98"/>
      <c r="C21" s="98"/>
      <c r="D21" s="98"/>
      <c r="E21" s="98"/>
      <c r="F21" s="98"/>
      <c r="G21" s="95"/>
      <c r="H21" s="95"/>
    </row>
    <row r="22" spans="1:8" ht="18">
      <c r="A22" s="99" t="s">
        <v>127</v>
      </c>
      <c r="B22" s="98"/>
      <c r="C22" s="105"/>
      <c r="D22" s="98"/>
      <c r="E22" s="71"/>
      <c r="F22" s="98"/>
      <c r="G22" s="95"/>
      <c r="H22" s="95"/>
    </row>
    <row r="23" spans="1:8" ht="18.75" thickBot="1">
      <c r="A23" s="99" t="s">
        <v>128</v>
      </c>
      <c r="B23" s="71"/>
      <c r="C23" s="98"/>
      <c r="D23" s="98"/>
      <c r="E23" s="114">
        <f>+D11*C35/(10+(B11+0.466)*C35)</f>
        <v>7.8721789948249507E-2</v>
      </c>
      <c r="F23" s="98"/>
      <c r="G23" s="95"/>
      <c r="H23" s="95"/>
    </row>
    <row r="24" spans="1:8" ht="18.75" thickTop="1">
      <c r="A24" s="98"/>
      <c r="B24" s="98"/>
      <c r="C24" s="98"/>
      <c r="D24" s="98"/>
      <c r="E24" s="98"/>
      <c r="F24" s="98"/>
      <c r="G24" s="95"/>
      <c r="H24" s="95"/>
    </row>
    <row r="25" spans="1:8">
      <c r="A25" s="97"/>
      <c r="B25" s="97"/>
      <c r="C25" s="97"/>
      <c r="D25" s="97"/>
      <c r="E25" s="97"/>
      <c r="F25" s="97"/>
      <c r="G25" s="71"/>
      <c r="H25" s="71"/>
    </row>
    <row r="26" spans="1:8" ht="18">
      <c r="A26" s="98" t="s">
        <v>90</v>
      </c>
      <c r="B26" s="98"/>
      <c r="C26" s="98"/>
      <c r="D26" s="98"/>
      <c r="E26" s="97"/>
      <c r="F26" s="97"/>
      <c r="G26" s="71"/>
      <c r="H26" s="71"/>
    </row>
    <row r="27" spans="1:8" ht="18">
      <c r="A27" s="98" t="s">
        <v>129</v>
      </c>
      <c r="B27" s="98"/>
      <c r="C27" s="98"/>
      <c r="D27" s="98"/>
      <c r="E27" s="97"/>
      <c r="F27" s="97"/>
      <c r="G27" s="71"/>
      <c r="H27" s="71"/>
    </row>
    <row r="28" spans="1:8" ht="18.75">
      <c r="A28" s="98"/>
      <c r="B28" s="98"/>
      <c r="C28" s="180"/>
      <c r="D28" s="180"/>
      <c r="E28" s="97"/>
      <c r="F28" s="97"/>
      <c r="G28" s="71"/>
      <c r="H28" s="71"/>
    </row>
    <row r="29" spans="1:8" ht="18.75">
      <c r="A29" s="98"/>
      <c r="B29" s="181"/>
      <c r="C29" s="182"/>
      <c r="D29" s="180"/>
      <c r="E29" s="97"/>
      <c r="F29" s="97"/>
      <c r="G29" s="71"/>
      <c r="H29" s="71"/>
    </row>
    <row r="30" spans="1:8" ht="18">
      <c r="A30" s="98"/>
      <c r="B30" s="181" t="s">
        <v>15</v>
      </c>
      <c r="C30" s="183">
        <f>+'Attachment 3 support'!K9*10</f>
        <v>111.80238764995606</v>
      </c>
      <c r="D30" s="95"/>
      <c r="E30" s="97"/>
      <c r="F30" s="97"/>
      <c r="G30" s="71"/>
      <c r="H30" s="71"/>
    </row>
    <row r="31" spans="1:8" ht="18">
      <c r="A31" s="98"/>
      <c r="B31" s="181" t="s">
        <v>16</v>
      </c>
      <c r="C31" s="183">
        <f>+'Attachment 3 support'!K10*10</f>
        <v>119.50911134584075</v>
      </c>
      <c r="D31" s="95"/>
      <c r="E31" s="97"/>
      <c r="F31" s="97"/>
      <c r="G31" s="71"/>
      <c r="H31" s="71"/>
    </row>
    <row r="32" spans="1:8" ht="18">
      <c r="A32" s="98"/>
      <c r="B32" s="181" t="s">
        <v>17</v>
      </c>
      <c r="C32" s="183">
        <f>+'Attachment 3 support'!K11*10</f>
        <v>95.307027027174399</v>
      </c>
      <c r="D32" s="95"/>
      <c r="E32" s="97"/>
      <c r="F32" s="97"/>
    </row>
    <row r="33" spans="1:6" ht="18.75" thickBot="1">
      <c r="A33" s="98"/>
      <c r="B33" s="181" t="s">
        <v>18</v>
      </c>
      <c r="C33" s="183">
        <f>+'Attachment 3 support'!K12*10</f>
        <v>73.64888912760884</v>
      </c>
      <c r="D33" s="95"/>
      <c r="E33" s="97"/>
      <c r="F33" s="97"/>
    </row>
    <row r="34" spans="1:6" ht="18.75" thickBot="1">
      <c r="A34" s="98"/>
      <c r="B34" s="98" t="s">
        <v>130</v>
      </c>
      <c r="C34" s="184">
        <f>SUM(C30:C33)</f>
        <v>400.26741515058006</v>
      </c>
      <c r="D34" s="95"/>
      <c r="E34" s="97"/>
      <c r="F34" s="97"/>
    </row>
    <row r="35" spans="1:6" ht="19.5" thickTop="1" thickBot="1">
      <c r="A35" s="98"/>
      <c r="B35" s="98" t="s">
        <v>131</v>
      </c>
      <c r="C35" s="185">
        <f>+C34/4</f>
        <v>100.06685378764502</v>
      </c>
      <c r="D35" s="95"/>
      <c r="E35" s="97"/>
      <c r="F35" s="97"/>
    </row>
    <row r="36" spans="1:6" ht="18.75" thickTop="1">
      <c r="A36" s="95"/>
      <c r="B36" s="95"/>
      <c r="C36" s="95"/>
      <c r="D36" s="95"/>
      <c r="E36" s="97"/>
      <c r="F36" s="97"/>
    </row>
    <row r="37" spans="1:6">
      <c r="A37" s="71"/>
      <c r="B37" s="71"/>
      <c r="C37" s="71"/>
      <c r="D37" s="71"/>
      <c r="E37" s="97"/>
      <c r="F37" s="97"/>
    </row>
    <row r="38" spans="1:6">
      <c r="A38" s="71"/>
      <c r="B38" s="71"/>
      <c r="C38" s="71"/>
      <c r="D38" s="71"/>
      <c r="E38" s="97"/>
      <c r="F38" s="97"/>
    </row>
    <row r="39" spans="1:6">
      <c r="A39" s="71"/>
      <c r="B39" s="71"/>
      <c r="C39" s="71"/>
      <c r="D39" s="71"/>
      <c r="E39" s="97"/>
      <c r="F39" s="97"/>
    </row>
    <row r="40" spans="1:6">
      <c r="A40" s="97"/>
      <c r="B40" s="97"/>
      <c r="C40" s="97"/>
      <c r="D40" s="97"/>
      <c r="E40" s="97"/>
      <c r="F40" s="97"/>
    </row>
    <row r="41" spans="1:6">
      <c r="A41" s="97"/>
      <c r="B41" s="97"/>
      <c r="C41" s="97"/>
      <c r="D41" s="97"/>
      <c r="E41" s="97"/>
      <c r="F41" s="97"/>
    </row>
    <row r="42" spans="1:6">
      <c r="A42" s="97"/>
      <c r="B42" s="97"/>
      <c r="C42" s="97"/>
      <c r="D42" s="97"/>
      <c r="E42" s="97"/>
      <c r="F42" s="97"/>
    </row>
    <row r="43" spans="1:6">
      <c r="A43" s="97"/>
      <c r="B43" s="97"/>
      <c r="C43" s="97"/>
      <c r="D43" s="97"/>
      <c r="E43" s="97"/>
      <c r="F43" s="97"/>
    </row>
    <row r="44" spans="1:6">
      <c r="A44" s="97"/>
      <c r="B44" s="97"/>
      <c r="C44" s="97"/>
      <c r="D44" s="97"/>
      <c r="E44" s="97"/>
      <c r="F44" s="97"/>
    </row>
    <row r="45" spans="1:6">
      <c r="A45" s="97"/>
      <c r="B45" s="97"/>
      <c r="C45" s="97"/>
      <c r="D45" s="97"/>
      <c r="E45" s="97"/>
      <c r="F45" s="97"/>
    </row>
    <row r="46" spans="1:6">
      <c r="A46" s="97"/>
      <c r="B46" s="97"/>
      <c r="C46" s="97"/>
      <c r="D46" s="97"/>
      <c r="E46" s="97"/>
      <c r="F46" s="97"/>
    </row>
    <row r="47" spans="1:6">
      <c r="A47" s="97"/>
      <c r="B47" s="97"/>
      <c r="C47" s="97"/>
      <c r="D47" s="97"/>
      <c r="E47" s="97"/>
      <c r="F47" s="97"/>
    </row>
    <row r="48" spans="1:6">
      <c r="A48" s="97"/>
      <c r="B48" s="97"/>
      <c r="C48" s="97"/>
      <c r="D48" s="97"/>
      <c r="E48" s="97"/>
      <c r="F48" s="97"/>
    </row>
    <row r="49" spans="1:6">
      <c r="A49" s="97"/>
      <c r="B49" s="97"/>
      <c r="C49" s="97"/>
      <c r="D49" s="97"/>
      <c r="E49" s="97"/>
      <c r="F49" s="97"/>
    </row>
    <row r="50" spans="1:6">
      <c r="A50" s="97"/>
      <c r="B50" s="97"/>
      <c r="C50" s="97"/>
      <c r="D50" s="97"/>
      <c r="E50" s="97"/>
      <c r="F50" s="97"/>
    </row>
    <row r="51" spans="1:6">
      <c r="A51" s="97"/>
      <c r="B51" s="97"/>
      <c r="C51" s="97"/>
      <c r="D51" s="97"/>
      <c r="E51" s="97"/>
      <c r="F51" s="97"/>
    </row>
  </sheetData>
  <mergeCells count="1">
    <mergeCell ref="A3:E3"/>
  </mergeCells>
  <phoneticPr fontId="6" type="noConversion"/>
  <pageMargins left="0.7" right="0.7" top="0.75" bottom="0.75" header="0.3" footer="0.3"/>
  <pageSetup orientation="portrait" r:id="rId1"/>
  <headerFooter>
    <oddFooter>&amp;L&amp;F                     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14" sqref="F14"/>
    </sheetView>
  </sheetViews>
  <sheetFormatPr defaultRowHeight="15"/>
  <cols>
    <col min="1" max="1" width="12.85546875" bestFit="1" customWidth="1"/>
    <col min="2" max="2" width="9.7109375" bestFit="1" customWidth="1"/>
    <col min="3" max="3" width="11.85546875" customWidth="1"/>
    <col min="4" max="4" width="11.5703125" style="14" customWidth="1"/>
  </cols>
  <sheetData>
    <row r="1" spans="1:6" s="5" customFormat="1">
      <c r="B1" s="5" t="s">
        <v>100</v>
      </c>
      <c r="C1" s="5" t="s">
        <v>100</v>
      </c>
      <c r="D1" s="36" t="s">
        <v>192</v>
      </c>
    </row>
    <row r="2" spans="1:6" s="5" customFormat="1" ht="15.75" thickBot="1">
      <c r="A2" s="291"/>
      <c r="B2" s="297" t="s">
        <v>101</v>
      </c>
      <c r="C2" s="5" t="s">
        <v>102</v>
      </c>
      <c r="D2" s="36" t="s">
        <v>194</v>
      </c>
    </row>
    <row r="3" spans="1:6">
      <c r="A3" s="64">
        <v>41974</v>
      </c>
      <c r="B3" s="244">
        <v>-5.0000000000000001E-3</v>
      </c>
      <c r="C3" s="43">
        <v>3.907</v>
      </c>
      <c r="D3" s="167">
        <f>B3+C3</f>
        <v>3.9020000000000001</v>
      </c>
    </row>
    <row r="4" spans="1:6">
      <c r="A4" s="64">
        <v>42005</v>
      </c>
      <c r="B4" s="245">
        <v>-5.0000000000000001E-3</v>
      </c>
      <c r="C4" s="43">
        <v>3.9860000000000002</v>
      </c>
      <c r="D4" s="167">
        <f t="shared" ref="D4:D14" si="0">B4+C4</f>
        <v>3.9810000000000003</v>
      </c>
    </row>
    <row r="5" spans="1:6">
      <c r="A5" s="64">
        <v>42036</v>
      </c>
      <c r="B5" s="245">
        <v>-5.0000000000000001E-3</v>
      </c>
      <c r="C5" s="43">
        <v>3.9769999999999999</v>
      </c>
      <c r="D5" s="167">
        <f t="shared" si="0"/>
        <v>3.972</v>
      </c>
    </row>
    <row r="6" spans="1:6">
      <c r="A6" s="64">
        <v>42064</v>
      </c>
      <c r="B6" s="245">
        <v>-5.0000000000000001E-3</v>
      </c>
      <c r="C6" s="43">
        <v>3.923</v>
      </c>
      <c r="D6" s="167">
        <f t="shared" si="0"/>
        <v>3.9180000000000001</v>
      </c>
      <c r="F6" s="247"/>
    </row>
    <row r="7" spans="1:6">
      <c r="A7" s="64">
        <v>42095</v>
      </c>
      <c r="B7" s="245">
        <v>-0.17599999999999999</v>
      </c>
      <c r="C7" s="43">
        <v>3.6960000000000002</v>
      </c>
      <c r="D7" s="167">
        <f>B7+C7</f>
        <v>3.52</v>
      </c>
    </row>
    <row r="8" spans="1:6">
      <c r="A8" s="64">
        <v>42125</v>
      </c>
      <c r="B8" s="245">
        <v>-0.17599999999999999</v>
      </c>
      <c r="C8" s="43">
        <v>3.6709999999999998</v>
      </c>
      <c r="D8" s="167">
        <f t="shared" si="0"/>
        <v>3.4949999999999997</v>
      </c>
      <c r="F8" s="247"/>
    </row>
    <row r="9" spans="1:6">
      <c r="A9" s="64">
        <v>42156</v>
      </c>
      <c r="B9" s="245">
        <v>-0.17599999999999999</v>
      </c>
      <c r="C9" s="43">
        <v>3.6960000000000002</v>
      </c>
      <c r="D9" s="167">
        <f t="shared" si="0"/>
        <v>3.52</v>
      </c>
    </row>
    <row r="10" spans="1:6">
      <c r="A10" s="64">
        <v>42186</v>
      </c>
      <c r="B10" s="245">
        <v>-0.17599999999999999</v>
      </c>
      <c r="C10" s="43">
        <v>3.7290000000000001</v>
      </c>
      <c r="D10" s="167">
        <f t="shared" si="0"/>
        <v>3.5529999999999999</v>
      </c>
    </row>
    <row r="11" spans="1:6">
      <c r="A11" s="64">
        <v>42217</v>
      </c>
      <c r="B11" s="245">
        <v>-0.17599999999999999</v>
      </c>
      <c r="C11" s="43">
        <v>3.742</v>
      </c>
      <c r="D11" s="167">
        <f t="shared" si="0"/>
        <v>3.5659999999999998</v>
      </c>
    </row>
    <row r="12" spans="1:6">
      <c r="A12" s="64">
        <v>42248</v>
      </c>
      <c r="B12" s="245">
        <v>-0.17599999999999999</v>
      </c>
      <c r="C12" s="43">
        <v>3.7309999999999999</v>
      </c>
      <c r="D12" s="167">
        <f t="shared" si="0"/>
        <v>3.5549999999999997</v>
      </c>
    </row>
    <row r="13" spans="1:6">
      <c r="A13" s="64">
        <v>42278</v>
      </c>
      <c r="B13" s="245">
        <v>-0.17599999999999999</v>
      </c>
      <c r="C13" s="43">
        <v>3.77</v>
      </c>
      <c r="D13" s="167">
        <f>B13+C13</f>
        <v>3.5939999999999999</v>
      </c>
    </row>
    <row r="14" spans="1:6" ht="15.75" thickBot="1">
      <c r="A14" s="64">
        <v>42309</v>
      </c>
      <c r="B14" s="246">
        <v>-5.0000000000000001E-3</v>
      </c>
      <c r="C14" s="43">
        <v>3.859</v>
      </c>
      <c r="D14" s="167">
        <f t="shared" si="0"/>
        <v>3.8540000000000001</v>
      </c>
    </row>
    <row r="16" spans="1:6">
      <c r="A16" s="67" t="s">
        <v>90</v>
      </c>
      <c r="B16" s="361" t="s">
        <v>104</v>
      </c>
      <c r="C16" s="362"/>
      <c r="D16" s="362"/>
    </row>
    <row r="17" spans="2:4">
      <c r="B17" s="362" t="s">
        <v>248</v>
      </c>
      <c r="C17" s="362"/>
      <c r="D17" s="362"/>
    </row>
    <row r="18" spans="2:4">
      <c r="B18" s="362" t="s">
        <v>249</v>
      </c>
      <c r="C18" s="362"/>
      <c r="D18" s="362"/>
    </row>
    <row r="19" spans="2:4">
      <c r="B19" s="362"/>
      <c r="C19" s="362"/>
      <c r="D19" s="362"/>
    </row>
    <row r="20" spans="2:4">
      <c r="B20" s="166"/>
      <c r="C20" s="166"/>
      <c r="D20" s="166"/>
    </row>
  </sheetData>
  <mergeCells count="4">
    <mergeCell ref="B16:D16"/>
    <mergeCell ref="B17:D17"/>
    <mergeCell ref="B19:D19"/>
    <mergeCell ref="B18:D18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opLeftCell="A7" workbookViewId="0">
      <selection activeCell="I22" sqref="I22"/>
    </sheetView>
  </sheetViews>
  <sheetFormatPr defaultRowHeight="15"/>
  <cols>
    <col min="1" max="1" width="11.140625" bestFit="1" customWidth="1"/>
    <col min="5" max="5" width="16.140625" customWidth="1"/>
    <col min="6" max="6" width="14.5703125" customWidth="1"/>
  </cols>
  <sheetData>
    <row r="1" spans="1:11" ht="15.75">
      <c r="A1" s="376" t="s">
        <v>198</v>
      </c>
      <c r="B1" s="376"/>
      <c r="C1" s="376"/>
      <c r="D1" s="376"/>
      <c r="E1" s="376"/>
      <c r="F1" s="376"/>
    </row>
    <row r="3" spans="1:11" ht="19.5">
      <c r="A3" s="369" t="s">
        <v>44</v>
      </c>
      <c r="B3" s="369"/>
      <c r="C3" s="369"/>
      <c r="D3" s="369"/>
      <c r="E3" s="369"/>
      <c r="F3" s="369"/>
    </row>
    <row r="4" spans="1:11">
      <c r="A4" s="368" t="s">
        <v>45</v>
      </c>
      <c r="B4" s="368"/>
      <c r="C4" s="368"/>
      <c r="D4" s="368"/>
      <c r="E4" s="368"/>
      <c r="F4" s="298">
        <v>3.1699999999999999E-2</v>
      </c>
    </row>
    <row r="5" spans="1:11">
      <c r="A5" s="368" t="s">
        <v>46</v>
      </c>
      <c r="B5" s="368"/>
      <c r="C5" s="368"/>
      <c r="D5" s="368"/>
      <c r="E5" s="368"/>
      <c r="F5" s="298">
        <v>1.2999999999999999E-2</v>
      </c>
    </row>
    <row r="6" spans="1:11">
      <c r="A6" s="368" t="s">
        <v>47</v>
      </c>
      <c r="B6" s="368"/>
      <c r="C6" s="368"/>
      <c r="D6" s="368"/>
      <c r="E6" s="368"/>
      <c r="F6" s="298">
        <v>1.14E-2</v>
      </c>
    </row>
    <row r="8" spans="1:11" ht="19.5">
      <c r="A8" s="369" t="s">
        <v>48</v>
      </c>
      <c r="B8" s="369"/>
      <c r="C8" s="369"/>
      <c r="D8" s="369"/>
      <c r="E8" s="369"/>
      <c r="F8" s="369"/>
    </row>
    <row r="9" spans="1:11" ht="15.75">
      <c r="A9" s="380" t="s">
        <v>49</v>
      </c>
      <c r="B9" s="381"/>
      <c r="C9" s="381"/>
      <c r="D9" s="381"/>
      <c r="E9" s="381"/>
      <c r="F9" s="382"/>
    </row>
    <row r="10" spans="1:11">
      <c r="A10" s="365" t="s">
        <v>54</v>
      </c>
      <c r="B10" s="365"/>
      <c r="C10" s="365"/>
      <c r="D10" s="365"/>
      <c r="E10" s="365"/>
      <c r="F10" s="46">
        <v>3000</v>
      </c>
    </row>
    <row r="11" spans="1:11">
      <c r="A11" s="364" t="s">
        <v>50</v>
      </c>
      <c r="B11" s="364"/>
      <c r="C11" s="364"/>
      <c r="D11" s="364"/>
      <c r="E11" s="364"/>
      <c r="F11" s="44">
        <v>0.37</v>
      </c>
    </row>
    <row r="12" spans="1:11">
      <c r="A12" s="368" t="s">
        <v>103</v>
      </c>
      <c r="B12" s="368"/>
      <c r="C12" s="368"/>
      <c r="D12" s="368"/>
      <c r="E12" s="368"/>
      <c r="F12" s="44">
        <v>1.32E-2</v>
      </c>
    </row>
    <row r="13" spans="1:11">
      <c r="A13" s="368" t="s">
        <v>58</v>
      </c>
      <c r="B13" s="368"/>
      <c r="C13" s="368"/>
      <c r="D13" s="368"/>
      <c r="E13" s="368"/>
      <c r="F13" s="44">
        <v>3.7000000000000002E-3</v>
      </c>
    </row>
    <row r="15" spans="1:11" ht="16.5" thickBot="1">
      <c r="A15" s="370" t="s">
        <v>53</v>
      </c>
      <c r="B15" s="371"/>
      <c r="C15" s="371"/>
      <c r="D15" s="371"/>
      <c r="E15" s="371"/>
      <c r="F15" s="372"/>
    </row>
    <row r="16" spans="1:11">
      <c r="A16" s="365" t="s">
        <v>54</v>
      </c>
      <c r="B16" s="365"/>
      <c r="C16" s="365"/>
      <c r="D16" s="365"/>
      <c r="E16" s="365"/>
      <c r="F16" s="227">
        <f>10000+4000</f>
        <v>14000</v>
      </c>
      <c r="G16" s="383" t="s">
        <v>213</v>
      </c>
      <c r="H16" s="384"/>
      <c r="I16" s="384"/>
      <c r="J16" s="384"/>
      <c r="K16" s="385"/>
    </row>
    <row r="17" spans="1:11">
      <c r="A17" s="364" t="s">
        <v>50</v>
      </c>
      <c r="B17" s="364"/>
      <c r="C17" s="364"/>
      <c r="D17" s="364"/>
      <c r="E17" s="364"/>
      <c r="F17" s="228">
        <v>0.2228</v>
      </c>
      <c r="G17" s="386"/>
      <c r="H17" s="387"/>
      <c r="I17" s="387"/>
      <c r="J17" s="387"/>
      <c r="K17" s="388"/>
    </row>
    <row r="18" spans="1:11">
      <c r="A18" s="368" t="s">
        <v>51</v>
      </c>
      <c r="B18" s="368"/>
      <c r="C18" s="368"/>
      <c r="D18" s="368"/>
      <c r="E18" s="368"/>
      <c r="F18" s="228">
        <v>0</v>
      </c>
      <c r="G18" s="386"/>
      <c r="H18" s="387"/>
      <c r="I18" s="387"/>
      <c r="J18" s="387"/>
      <c r="K18" s="388"/>
    </row>
    <row r="19" spans="1:11" ht="15.75" thickBot="1">
      <c r="A19" s="368" t="s">
        <v>52</v>
      </c>
      <c r="B19" s="368"/>
      <c r="C19" s="368"/>
      <c r="D19" s="368"/>
      <c r="E19" s="368"/>
      <c r="F19" s="228">
        <v>1.1599999999999999E-2</v>
      </c>
      <c r="G19" s="389"/>
      <c r="H19" s="390"/>
      <c r="I19" s="390"/>
      <c r="J19" s="390"/>
      <c r="K19" s="391"/>
    </row>
    <row r="20" spans="1:11">
      <c r="A20" s="367" t="s">
        <v>81</v>
      </c>
      <c r="B20" s="367"/>
      <c r="C20" s="367"/>
      <c r="D20" s="367"/>
      <c r="E20" s="367"/>
      <c r="F20" s="45">
        <f>F18+F19</f>
        <v>1.1599999999999999E-2</v>
      </c>
    </row>
    <row r="22" spans="1:11" ht="15.75">
      <c r="A22" s="377" t="s">
        <v>57</v>
      </c>
      <c r="B22" s="378"/>
      <c r="C22" s="378"/>
      <c r="D22" s="378"/>
      <c r="E22" s="378"/>
      <c r="F22" s="379"/>
    </row>
    <row r="23" spans="1:11">
      <c r="A23" s="365" t="s">
        <v>54</v>
      </c>
      <c r="B23" s="365"/>
      <c r="C23" s="365"/>
      <c r="D23" s="365"/>
      <c r="E23" s="365"/>
      <c r="F23" s="46">
        <v>10100</v>
      </c>
    </row>
    <row r="24" spans="1:11">
      <c r="A24" s="364" t="s">
        <v>50</v>
      </c>
      <c r="B24" s="364"/>
      <c r="C24" s="364"/>
      <c r="D24" s="364"/>
      <c r="E24" s="364"/>
      <c r="F24" s="44">
        <v>0.15859999999999999</v>
      </c>
    </row>
    <row r="25" spans="1:11">
      <c r="A25" s="368" t="s">
        <v>51</v>
      </c>
      <c r="B25" s="368"/>
      <c r="C25" s="368"/>
      <c r="D25" s="368"/>
      <c r="E25" s="368"/>
      <c r="F25" s="44">
        <v>0</v>
      </c>
    </row>
    <row r="26" spans="1:11">
      <c r="A26" s="368" t="s">
        <v>52</v>
      </c>
      <c r="B26" s="368"/>
      <c r="C26" s="368"/>
      <c r="D26" s="368"/>
      <c r="E26" s="368"/>
      <c r="F26" s="44">
        <v>1.15E-2</v>
      </c>
    </row>
    <row r="27" spans="1:11">
      <c r="A27" s="368" t="s">
        <v>59</v>
      </c>
      <c r="B27" s="368"/>
      <c r="C27" s="368"/>
      <c r="D27" s="368"/>
      <c r="E27" s="368"/>
      <c r="F27" s="44">
        <v>1.1999999999999999E-3</v>
      </c>
    </row>
    <row r="28" spans="1:11">
      <c r="A28" s="367" t="s">
        <v>81</v>
      </c>
      <c r="B28" s="367"/>
      <c r="C28" s="367"/>
      <c r="D28" s="367"/>
      <c r="E28" s="367"/>
      <c r="F28" s="45">
        <f>F26+F27</f>
        <v>1.2699999999999999E-2</v>
      </c>
    </row>
    <row r="30" spans="1:11" ht="15.75">
      <c r="A30" s="377" t="s">
        <v>56</v>
      </c>
      <c r="B30" s="378"/>
      <c r="C30" s="378"/>
      <c r="D30" s="378"/>
      <c r="E30" s="378"/>
      <c r="F30" s="379"/>
    </row>
    <row r="31" spans="1:11">
      <c r="A31" s="365" t="s">
        <v>54</v>
      </c>
      <c r="B31" s="365"/>
      <c r="C31" s="365"/>
      <c r="D31" s="365"/>
      <c r="E31" s="365"/>
      <c r="F31" s="46">
        <v>5000</v>
      </c>
    </row>
    <row r="32" spans="1:11">
      <c r="A32" s="364" t="s">
        <v>138</v>
      </c>
      <c r="B32" s="364"/>
      <c r="C32" s="364"/>
      <c r="D32" s="364"/>
      <c r="E32" s="364"/>
      <c r="F32" s="118">
        <f>0.1586+0.0685</f>
        <v>0.2271</v>
      </c>
    </row>
    <row r="33" spans="1:6">
      <c r="A33" s="368" t="s">
        <v>51</v>
      </c>
      <c r="B33" s="368"/>
      <c r="C33" s="368"/>
      <c r="D33" s="368"/>
      <c r="E33" s="368"/>
      <c r="F33" s="44">
        <v>0</v>
      </c>
    </row>
    <row r="34" spans="1:6">
      <c r="A34" s="368" t="s">
        <v>52</v>
      </c>
      <c r="B34" s="368"/>
      <c r="C34" s="368"/>
      <c r="D34" s="368"/>
      <c r="E34" s="368"/>
      <c r="F34" s="44">
        <v>1.15E-2</v>
      </c>
    </row>
    <row r="35" spans="1:6">
      <c r="A35" s="368" t="s">
        <v>59</v>
      </c>
      <c r="B35" s="368"/>
      <c r="C35" s="368"/>
      <c r="D35" s="368"/>
      <c r="E35" s="368"/>
      <c r="F35" s="44">
        <v>1.1999999999999999E-3</v>
      </c>
    </row>
    <row r="36" spans="1:6">
      <c r="A36" s="367" t="s">
        <v>81</v>
      </c>
      <c r="B36" s="367"/>
      <c r="C36" s="367"/>
      <c r="D36" s="367"/>
      <c r="E36" s="367"/>
      <c r="F36" s="45">
        <f>F34+F35</f>
        <v>1.2699999999999999E-2</v>
      </c>
    </row>
    <row r="38" spans="1:6" ht="15.75">
      <c r="A38" s="373" t="s">
        <v>55</v>
      </c>
      <c r="B38" s="374"/>
      <c r="C38" s="374"/>
      <c r="D38" s="374"/>
      <c r="E38" s="374"/>
      <c r="F38" s="375"/>
    </row>
    <row r="39" spans="1:6">
      <c r="A39" s="365" t="s">
        <v>54</v>
      </c>
      <c r="B39" s="365"/>
      <c r="C39" s="365"/>
      <c r="D39" s="365"/>
      <c r="E39" s="365"/>
      <c r="F39" s="46">
        <v>5000</v>
      </c>
    </row>
    <row r="40" spans="1:6">
      <c r="A40" s="364" t="s">
        <v>50</v>
      </c>
      <c r="B40" s="364"/>
      <c r="C40" s="364"/>
      <c r="D40" s="364"/>
      <c r="E40" s="364"/>
      <c r="F40" s="44">
        <v>0.15859999999999999</v>
      </c>
    </row>
    <row r="41" spans="1:6">
      <c r="A41" s="368" t="s">
        <v>51</v>
      </c>
      <c r="B41" s="368"/>
      <c r="C41" s="368"/>
      <c r="D41" s="368"/>
      <c r="E41" s="368"/>
      <c r="F41" s="44">
        <v>0</v>
      </c>
    </row>
    <row r="42" spans="1:6">
      <c r="A42" s="368" t="s">
        <v>52</v>
      </c>
      <c r="B42" s="368"/>
      <c r="C42" s="368"/>
      <c r="D42" s="368"/>
      <c r="E42" s="368"/>
      <c r="F42" s="44">
        <v>1.15E-2</v>
      </c>
    </row>
    <row r="43" spans="1:6">
      <c r="A43" s="368" t="s">
        <v>59</v>
      </c>
      <c r="B43" s="368"/>
      <c r="C43" s="368"/>
      <c r="D43" s="368"/>
      <c r="E43" s="368"/>
      <c r="F43" s="44">
        <v>1.1999999999999999E-3</v>
      </c>
    </row>
    <row r="44" spans="1:6">
      <c r="A44" s="367" t="s">
        <v>81</v>
      </c>
      <c r="B44" s="367"/>
      <c r="C44" s="367"/>
      <c r="D44" s="367"/>
      <c r="E44" s="367"/>
      <c r="F44" s="45">
        <f>F42+F43</f>
        <v>1.2699999999999999E-2</v>
      </c>
    </row>
    <row r="46" spans="1:6">
      <c r="A46" s="119" t="s">
        <v>90</v>
      </c>
      <c r="B46" s="366" t="s">
        <v>136</v>
      </c>
      <c r="C46" s="363"/>
      <c r="D46" s="363"/>
      <c r="E46" s="363"/>
      <c r="F46" s="363"/>
    </row>
    <row r="47" spans="1:6">
      <c r="C47" s="366" t="s">
        <v>169</v>
      </c>
      <c r="D47" s="363"/>
      <c r="E47" s="363"/>
      <c r="F47" s="363"/>
    </row>
    <row r="48" spans="1:6">
      <c r="C48" s="366" t="s">
        <v>137</v>
      </c>
      <c r="D48" s="363"/>
      <c r="E48" s="363"/>
      <c r="F48" s="363"/>
    </row>
    <row r="49" spans="3:6">
      <c r="C49" s="363" t="s">
        <v>170</v>
      </c>
      <c r="D49" s="363"/>
      <c r="E49" s="363"/>
      <c r="F49" s="363"/>
    </row>
  </sheetData>
  <mergeCells count="43">
    <mergeCell ref="G16:K19"/>
    <mergeCell ref="A1:F1"/>
    <mergeCell ref="C48:F48"/>
    <mergeCell ref="A33:E33"/>
    <mergeCell ref="A26:E26"/>
    <mergeCell ref="A23:E23"/>
    <mergeCell ref="A30:F30"/>
    <mergeCell ref="A32:E32"/>
    <mergeCell ref="A27:E27"/>
    <mergeCell ref="A36:E36"/>
    <mergeCell ref="A10:E10"/>
    <mergeCell ref="A19:E19"/>
    <mergeCell ref="A16:E16"/>
    <mergeCell ref="A8:F8"/>
    <mergeCell ref="A17:E17"/>
    <mergeCell ref="A9:F9"/>
    <mergeCell ref="A18:E18"/>
    <mergeCell ref="A15:F15"/>
    <mergeCell ref="A25:E25"/>
    <mergeCell ref="A38:F38"/>
    <mergeCell ref="A34:E34"/>
    <mergeCell ref="A35:E35"/>
    <mergeCell ref="A31:E31"/>
    <mergeCell ref="A20:E20"/>
    <mergeCell ref="A28:E28"/>
    <mergeCell ref="A22:F22"/>
    <mergeCell ref="A24:E24"/>
    <mergeCell ref="A3:F3"/>
    <mergeCell ref="A4:E4"/>
    <mergeCell ref="A5:E5"/>
    <mergeCell ref="A13:E13"/>
    <mergeCell ref="A6:E6"/>
    <mergeCell ref="A11:E11"/>
    <mergeCell ref="A12:E12"/>
    <mergeCell ref="C49:F49"/>
    <mergeCell ref="A40:E40"/>
    <mergeCell ref="A39:E39"/>
    <mergeCell ref="B46:F46"/>
    <mergeCell ref="C47:F47"/>
    <mergeCell ref="A44:E44"/>
    <mergeCell ref="A42:E42"/>
    <mergeCell ref="A43:E43"/>
    <mergeCell ref="A41:E41"/>
  </mergeCells>
  <phoneticPr fontId="6" type="noConversion"/>
  <pageMargins left="0.75" right="0.75" top="1" bottom="1" header="0.5" footer="0.5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Monthly Usage - Rogersville</vt:lpstr>
      <vt:lpstr>Monthly Usage - Branson</vt:lpstr>
      <vt:lpstr>Capacity Release Vols</vt:lpstr>
      <vt:lpstr>Est Storage WACOG Calc</vt:lpstr>
      <vt:lpstr>Attachment 1</vt:lpstr>
      <vt:lpstr>Attachment 2</vt:lpstr>
      <vt:lpstr>Attachment 3</vt:lpstr>
      <vt:lpstr>Swing Price</vt:lpstr>
      <vt:lpstr>Delivery Rates</vt:lpstr>
      <vt:lpstr>Hedges</vt:lpstr>
      <vt:lpstr>Btu Factor Calculations</vt:lpstr>
      <vt:lpstr>Attachment 3 support</vt:lpstr>
      <vt:lpstr>'Attachment 1'!Print_Area</vt:lpstr>
      <vt:lpstr>'Attachment 2'!Print_Area</vt:lpstr>
      <vt:lpstr>'Attachment 3'!Print_Area</vt:lpstr>
      <vt:lpstr>'Attachment 3 support'!Print_Area</vt:lpstr>
      <vt:lpstr>'Btu Factor Calculations'!Print_Area</vt:lpstr>
      <vt:lpstr>'Capacity Release Vols'!Print_Area</vt:lpstr>
      <vt:lpstr>'Delivery Rates'!Print_Area</vt:lpstr>
      <vt:lpstr>Hedges!Print_Area</vt:lpstr>
      <vt:lpstr>'Monthly Usage - Rogersville'!Print_Area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Taylor</dc:creator>
  <cp:lastModifiedBy>tporter</cp:lastModifiedBy>
  <cp:lastPrinted>2014-10-14T22:11:28Z</cp:lastPrinted>
  <dcterms:created xsi:type="dcterms:W3CDTF">2011-07-27T22:30:05Z</dcterms:created>
  <dcterms:modified xsi:type="dcterms:W3CDTF">2014-10-15T15:06:06Z</dcterms:modified>
</cp:coreProperties>
</file>