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14 - Position Statement\Offers of Evidence\"/>
    </mc:Choice>
  </mc:AlternateContent>
  <bookViews>
    <workbookView xWindow="480" yWindow="75" windowWidth="18195" windowHeight="7995" activeTab="1"/>
  </bookViews>
  <sheets>
    <sheet name="Revenue Summary by Rate" sheetId="126" r:id="rId1"/>
    <sheet name=" Monthly Unbilled " sheetId="73" r:id="rId2"/>
    <sheet name="Customers, KWH, and Revenues" sheetId="127" r:id="rId3"/>
    <sheet name="Sheet2" sheetId="21" r:id="rId4"/>
  </sheets>
  <definedNames>
    <definedName name="_xlnm._FilterDatabase" localSheetId="0" hidden="1">'Revenue Summary by Rate'!$A$2:$AQ$521</definedName>
    <definedName name="NvsASD">"V2005-12-31"</definedName>
    <definedName name="NvsAutoDrillOk">"VN"</definedName>
    <definedName name="NvsElapsedTime" localSheetId="2">0.000479050926514901</definedName>
    <definedName name="NvsElapsedTime">0.000479050926514901</definedName>
    <definedName name="NvsEndTime" localSheetId="2">38730.5715481481</definedName>
    <definedName name="NvsEndTime">38730.5715481481</definedName>
    <definedName name="NvsInstSpec">"%,FBUSINESS_UNIT,VGLCON"</definedName>
    <definedName name="NvsLayoutType">"M3"</definedName>
    <definedName name="NvsPanelEffdt">"V2001-01-01"</definedName>
    <definedName name="NvsPanelSetid">"VECORP"</definedName>
    <definedName name="NvsReqBU">"VGL001"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PRODUCT">"PRODUCT_TBL"</definedName>
    <definedName name="NvsValTbl.SCENARIO">"BD_SCENARIO_TBL"</definedName>
    <definedName name="_xlnm.Print_Area" localSheetId="2">'Customers, KWH, and Revenues'!$A$1:$AC$353</definedName>
  </definedNames>
  <calcPr calcId="152511"/>
</workbook>
</file>

<file path=xl/calcChain.xml><?xml version="1.0" encoding="utf-8"?>
<calcChain xmlns="http://schemas.openxmlformats.org/spreadsheetml/2006/main">
  <c r="S351" i="127" l="1"/>
  <c r="N351" i="127"/>
  <c r="K351" i="127"/>
  <c r="J351" i="127"/>
  <c r="I351" i="127"/>
  <c r="T351" i="127" s="1"/>
  <c r="H351" i="127"/>
  <c r="G351" i="127"/>
  <c r="F351" i="127"/>
  <c r="E351" i="127"/>
  <c r="D351" i="127"/>
  <c r="C351" i="127"/>
  <c r="I350" i="127"/>
  <c r="V340" i="127"/>
  <c r="U340" i="127"/>
  <c r="N340" i="127"/>
  <c r="M340" i="127"/>
  <c r="L340" i="127"/>
  <c r="K340" i="127"/>
  <c r="J340" i="127"/>
  <c r="I340" i="127"/>
  <c r="T340" i="127" s="1"/>
  <c r="H340" i="127"/>
  <c r="G340" i="127"/>
  <c r="F340" i="127"/>
  <c r="S340" i="127" s="1"/>
  <c r="E340" i="127"/>
  <c r="D340" i="127"/>
  <c r="C340" i="127"/>
  <c r="R340" i="127" s="1"/>
  <c r="N339" i="127"/>
  <c r="M339" i="127"/>
  <c r="L339" i="127"/>
  <c r="U339" i="127" s="1"/>
  <c r="K339" i="127"/>
  <c r="J339" i="127"/>
  <c r="I339" i="127"/>
  <c r="H339" i="127"/>
  <c r="G339" i="127"/>
  <c r="S339" i="127" s="1"/>
  <c r="F339" i="127"/>
  <c r="E339" i="127"/>
  <c r="D339" i="127"/>
  <c r="C339" i="127"/>
  <c r="V339" i="127" s="1"/>
  <c r="N338" i="127"/>
  <c r="M338" i="127"/>
  <c r="L338" i="127"/>
  <c r="K338" i="127"/>
  <c r="J338" i="127"/>
  <c r="T338" i="127" s="1"/>
  <c r="I338" i="127"/>
  <c r="H338" i="127"/>
  <c r="G338" i="127"/>
  <c r="F338" i="127"/>
  <c r="S338" i="127" s="1"/>
  <c r="E338" i="127"/>
  <c r="D338" i="127"/>
  <c r="C338" i="127"/>
  <c r="T318" i="127"/>
  <c r="S318" i="127"/>
  <c r="N318" i="127"/>
  <c r="M318" i="127"/>
  <c r="L318" i="127"/>
  <c r="U318" i="127" s="1"/>
  <c r="K318" i="127"/>
  <c r="J318" i="127"/>
  <c r="I318" i="127"/>
  <c r="H318" i="127"/>
  <c r="G318" i="127"/>
  <c r="F318" i="127"/>
  <c r="E318" i="127"/>
  <c r="D318" i="127"/>
  <c r="C318" i="127"/>
  <c r="V318" i="127" s="1"/>
  <c r="N317" i="127"/>
  <c r="M317" i="127"/>
  <c r="U317" i="127" s="1"/>
  <c r="L317" i="127"/>
  <c r="K317" i="127"/>
  <c r="J317" i="127"/>
  <c r="I317" i="127"/>
  <c r="T317" i="127" s="1"/>
  <c r="H317" i="127"/>
  <c r="G317" i="127"/>
  <c r="F317" i="127"/>
  <c r="S317" i="127" s="1"/>
  <c r="E317" i="127"/>
  <c r="D317" i="127"/>
  <c r="C317" i="127"/>
  <c r="V316" i="127"/>
  <c r="U316" i="127"/>
  <c r="N316" i="127"/>
  <c r="M316" i="127"/>
  <c r="L316" i="127"/>
  <c r="K316" i="127"/>
  <c r="J316" i="127"/>
  <c r="I316" i="127"/>
  <c r="T316" i="127" s="1"/>
  <c r="H316" i="127"/>
  <c r="G316" i="127"/>
  <c r="F316" i="127"/>
  <c r="E316" i="127"/>
  <c r="D316" i="127"/>
  <c r="C316" i="127"/>
  <c r="R316" i="127" s="1"/>
  <c r="N303" i="127"/>
  <c r="M303" i="127"/>
  <c r="L303" i="127"/>
  <c r="K303" i="127"/>
  <c r="J303" i="127"/>
  <c r="I303" i="127"/>
  <c r="T303" i="127" s="1"/>
  <c r="H303" i="127"/>
  <c r="S303" i="127" s="1"/>
  <c r="G303" i="127"/>
  <c r="F303" i="127"/>
  <c r="E303" i="127"/>
  <c r="D303" i="127"/>
  <c r="C303" i="127"/>
  <c r="J301" i="127"/>
  <c r="N300" i="127"/>
  <c r="M300" i="127"/>
  <c r="L300" i="127"/>
  <c r="U300" i="127" s="1"/>
  <c r="K300" i="127"/>
  <c r="J300" i="127"/>
  <c r="I300" i="127"/>
  <c r="T300" i="127" s="1"/>
  <c r="H300" i="127"/>
  <c r="G300" i="127"/>
  <c r="S300" i="127" s="1"/>
  <c r="F300" i="127"/>
  <c r="E300" i="127"/>
  <c r="D300" i="127"/>
  <c r="C300" i="127"/>
  <c r="R300" i="127" s="1"/>
  <c r="T299" i="127"/>
  <c r="S299" i="127"/>
  <c r="N299" i="127"/>
  <c r="M299" i="127"/>
  <c r="L299" i="127"/>
  <c r="U299" i="127" s="1"/>
  <c r="K299" i="127"/>
  <c r="J299" i="127"/>
  <c r="I299" i="127"/>
  <c r="H299" i="127"/>
  <c r="G299" i="127"/>
  <c r="F299" i="127"/>
  <c r="E299" i="127"/>
  <c r="D299" i="127"/>
  <c r="C299" i="127"/>
  <c r="R299" i="127" s="1"/>
  <c r="N298" i="127"/>
  <c r="M298" i="127"/>
  <c r="U298" i="127" s="1"/>
  <c r="L298" i="127"/>
  <c r="K298" i="127"/>
  <c r="J298" i="127"/>
  <c r="I298" i="127"/>
  <c r="T298" i="127" s="1"/>
  <c r="H298" i="127"/>
  <c r="G298" i="127"/>
  <c r="F298" i="127"/>
  <c r="S298" i="127" s="1"/>
  <c r="E298" i="127"/>
  <c r="D298" i="127"/>
  <c r="C298" i="127"/>
  <c r="U297" i="127"/>
  <c r="N297" i="127"/>
  <c r="M297" i="127"/>
  <c r="L297" i="127"/>
  <c r="K297" i="127"/>
  <c r="J297" i="127"/>
  <c r="I297" i="127"/>
  <c r="T297" i="127" s="1"/>
  <c r="H297" i="127"/>
  <c r="G297" i="127"/>
  <c r="F297" i="127"/>
  <c r="S297" i="127" s="1"/>
  <c r="E297" i="127"/>
  <c r="D297" i="127"/>
  <c r="C297" i="127"/>
  <c r="R297" i="127" s="1"/>
  <c r="N296" i="127"/>
  <c r="M296" i="127"/>
  <c r="L296" i="127"/>
  <c r="U296" i="127" s="1"/>
  <c r="K296" i="127"/>
  <c r="J296" i="127"/>
  <c r="I296" i="127"/>
  <c r="H296" i="127"/>
  <c r="G296" i="127"/>
  <c r="S296" i="127" s="1"/>
  <c r="F296" i="127"/>
  <c r="E296" i="127"/>
  <c r="D296" i="127"/>
  <c r="C296" i="127"/>
  <c r="R296" i="127" s="1"/>
  <c r="N295" i="127"/>
  <c r="L295" i="127"/>
  <c r="K295" i="127"/>
  <c r="J295" i="127"/>
  <c r="I295" i="127"/>
  <c r="T295" i="127" s="1"/>
  <c r="H295" i="127"/>
  <c r="S295" i="127" s="1"/>
  <c r="G295" i="127"/>
  <c r="F295" i="127"/>
  <c r="E295" i="127"/>
  <c r="D295" i="127"/>
  <c r="C295" i="127"/>
  <c r="I294" i="127"/>
  <c r="F294" i="127"/>
  <c r="V280" i="127"/>
  <c r="U280" i="127"/>
  <c r="T280" i="127"/>
  <c r="S280" i="127"/>
  <c r="R280" i="127"/>
  <c r="V279" i="127"/>
  <c r="T279" i="127"/>
  <c r="S278" i="127"/>
  <c r="V278" i="127"/>
  <c r="J275" i="127"/>
  <c r="K274" i="127"/>
  <c r="C274" i="127"/>
  <c r="V273" i="127"/>
  <c r="U273" i="127"/>
  <c r="T273" i="127"/>
  <c r="S273" i="127"/>
  <c r="R273" i="127"/>
  <c r="U272" i="127"/>
  <c r="T272" i="127"/>
  <c r="S272" i="127"/>
  <c r="V271" i="127"/>
  <c r="U271" i="127"/>
  <c r="T271" i="127"/>
  <c r="R271" i="127"/>
  <c r="V270" i="127"/>
  <c r="U270" i="127"/>
  <c r="T270" i="127"/>
  <c r="S270" i="127"/>
  <c r="R270" i="127"/>
  <c r="V269" i="127"/>
  <c r="U269" i="127"/>
  <c r="T269" i="127"/>
  <c r="S269" i="127"/>
  <c r="R269" i="127"/>
  <c r="V268" i="127"/>
  <c r="U268" i="127"/>
  <c r="T268" i="127"/>
  <c r="S268" i="127"/>
  <c r="R268" i="127"/>
  <c r="V267" i="127"/>
  <c r="U267" i="127"/>
  <c r="T267" i="127"/>
  <c r="S267" i="127"/>
  <c r="R267" i="127"/>
  <c r="V266" i="127"/>
  <c r="U266" i="127"/>
  <c r="T266" i="127"/>
  <c r="S266" i="127"/>
  <c r="R266" i="127"/>
  <c r="T265" i="127"/>
  <c r="U265" i="127"/>
  <c r="S265" i="127"/>
  <c r="T264" i="127"/>
  <c r="S264" i="127"/>
  <c r="R263" i="127"/>
  <c r="K275" i="127"/>
  <c r="G275" i="127"/>
  <c r="D274" i="127"/>
  <c r="T256" i="127"/>
  <c r="V254" i="127"/>
  <c r="T254" i="127"/>
  <c r="V250" i="127"/>
  <c r="U250" i="127"/>
  <c r="T250" i="127"/>
  <c r="S250" i="127"/>
  <c r="R250" i="127"/>
  <c r="U249" i="127"/>
  <c r="S249" i="127"/>
  <c r="V248" i="127"/>
  <c r="U248" i="127"/>
  <c r="T248" i="127"/>
  <c r="S248" i="127"/>
  <c r="R248" i="127"/>
  <c r="V247" i="127"/>
  <c r="U247" i="127"/>
  <c r="T247" i="127"/>
  <c r="S247" i="127"/>
  <c r="R247" i="127"/>
  <c r="V246" i="127"/>
  <c r="U246" i="127"/>
  <c r="T246" i="127"/>
  <c r="S246" i="127"/>
  <c r="R246" i="127"/>
  <c r="V245" i="127"/>
  <c r="U245" i="127"/>
  <c r="T245" i="127"/>
  <c r="S245" i="127"/>
  <c r="R245" i="127"/>
  <c r="V244" i="127"/>
  <c r="U244" i="127"/>
  <c r="T244" i="127"/>
  <c r="S244" i="127"/>
  <c r="R244" i="127"/>
  <c r="V243" i="127"/>
  <c r="U243" i="127"/>
  <c r="T243" i="127"/>
  <c r="S243" i="127"/>
  <c r="R243" i="127"/>
  <c r="U242" i="127"/>
  <c r="T242" i="127"/>
  <c r="S242" i="127"/>
  <c r="K252" i="127"/>
  <c r="R240" i="127"/>
  <c r="T239" i="127"/>
  <c r="I252" i="127"/>
  <c r="N233" i="127"/>
  <c r="J233" i="127"/>
  <c r="F233" i="127"/>
  <c r="N232" i="127"/>
  <c r="K232" i="127"/>
  <c r="J232" i="127"/>
  <c r="G232" i="127"/>
  <c r="F232" i="127"/>
  <c r="C232" i="127"/>
  <c r="V231" i="127"/>
  <c r="U231" i="127"/>
  <c r="T231" i="127"/>
  <c r="S231" i="127"/>
  <c r="R231" i="127"/>
  <c r="T230" i="127"/>
  <c r="N230" i="127"/>
  <c r="M230" i="127"/>
  <c r="L230" i="127"/>
  <c r="U230" i="127" s="1"/>
  <c r="K230" i="127"/>
  <c r="J230" i="127"/>
  <c r="I230" i="127"/>
  <c r="H230" i="127"/>
  <c r="S230" i="127" s="1"/>
  <c r="G230" i="127"/>
  <c r="F230" i="127"/>
  <c r="E230" i="127"/>
  <c r="D230" i="127"/>
  <c r="C230" i="127"/>
  <c r="T229" i="127"/>
  <c r="S229" i="127"/>
  <c r="M229" i="127"/>
  <c r="L229" i="127"/>
  <c r="U229" i="127" s="1"/>
  <c r="K229" i="127"/>
  <c r="F229" i="127"/>
  <c r="E229" i="127"/>
  <c r="V228" i="127"/>
  <c r="U228" i="127"/>
  <c r="T228" i="127"/>
  <c r="S228" i="127"/>
  <c r="R228" i="127"/>
  <c r="V227" i="127"/>
  <c r="U227" i="127"/>
  <c r="T227" i="127"/>
  <c r="S227" i="127"/>
  <c r="R227" i="127"/>
  <c r="V226" i="127"/>
  <c r="U226" i="127"/>
  <c r="T226" i="127"/>
  <c r="S226" i="127"/>
  <c r="R226" i="127"/>
  <c r="V225" i="127"/>
  <c r="U225" i="127"/>
  <c r="T225" i="127"/>
  <c r="S225" i="127"/>
  <c r="R225" i="127"/>
  <c r="V224" i="127"/>
  <c r="U224" i="127"/>
  <c r="T224" i="127"/>
  <c r="S224" i="127"/>
  <c r="R224" i="127"/>
  <c r="V223" i="127"/>
  <c r="U223" i="127"/>
  <c r="T223" i="127"/>
  <c r="S223" i="127"/>
  <c r="R223" i="127"/>
  <c r="T222" i="127"/>
  <c r="S222" i="127"/>
  <c r="R222" i="127"/>
  <c r="M222" i="127"/>
  <c r="V222" i="127" s="1"/>
  <c r="S221" i="127"/>
  <c r="N221" i="127"/>
  <c r="M221" i="127"/>
  <c r="L221" i="127"/>
  <c r="U221" i="127" s="1"/>
  <c r="K221" i="127"/>
  <c r="J221" i="127"/>
  <c r="I221" i="127"/>
  <c r="T221" i="127" s="1"/>
  <c r="H221" i="127"/>
  <c r="G221" i="127"/>
  <c r="F221" i="127"/>
  <c r="E221" i="127"/>
  <c r="D221" i="127"/>
  <c r="V221" i="127" s="1"/>
  <c r="C221" i="127"/>
  <c r="R221" i="127" s="1"/>
  <c r="T220" i="127"/>
  <c r="N220" i="127"/>
  <c r="M220" i="127"/>
  <c r="M233" i="127" s="1"/>
  <c r="L220" i="127"/>
  <c r="K220" i="127"/>
  <c r="K233" i="127" s="1"/>
  <c r="J220" i="127"/>
  <c r="I220" i="127"/>
  <c r="I232" i="127" s="1"/>
  <c r="H220" i="127"/>
  <c r="G220" i="127"/>
  <c r="G233" i="127" s="1"/>
  <c r="F220" i="127"/>
  <c r="E220" i="127"/>
  <c r="E232" i="127" s="1"/>
  <c r="D220" i="127"/>
  <c r="C220" i="127"/>
  <c r="V210" i="127"/>
  <c r="T210" i="127"/>
  <c r="S210" i="127"/>
  <c r="R210" i="127"/>
  <c r="M210" i="127"/>
  <c r="U210" i="127" s="1"/>
  <c r="L210" i="127"/>
  <c r="L351" i="127" s="1"/>
  <c r="U209" i="127"/>
  <c r="V209" i="127"/>
  <c r="U208" i="127"/>
  <c r="T208" i="127"/>
  <c r="S208" i="127"/>
  <c r="T207" i="127"/>
  <c r="U207" i="127"/>
  <c r="S207" i="127"/>
  <c r="N205" i="127"/>
  <c r="S203" i="127"/>
  <c r="V202" i="127"/>
  <c r="T202" i="127"/>
  <c r="S202" i="127"/>
  <c r="R202" i="127"/>
  <c r="S201" i="127"/>
  <c r="U201" i="127"/>
  <c r="V201" i="127"/>
  <c r="U200" i="127"/>
  <c r="T200" i="127"/>
  <c r="S200" i="127"/>
  <c r="V199" i="127"/>
  <c r="U199" i="127"/>
  <c r="T199" i="127"/>
  <c r="S199" i="127"/>
  <c r="R199" i="127"/>
  <c r="V198" i="127"/>
  <c r="U198" i="127"/>
  <c r="T198" i="127"/>
  <c r="S198" i="127"/>
  <c r="R198" i="127"/>
  <c r="V197" i="127"/>
  <c r="U197" i="127"/>
  <c r="T197" i="127"/>
  <c r="S197" i="127"/>
  <c r="R197" i="127"/>
  <c r="N337" i="127"/>
  <c r="M337" i="127"/>
  <c r="L337" i="127"/>
  <c r="K337" i="127"/>
  <c r="J337" i="127"/>
  <c r="H337" i="127"/>
  <c r="G337" i="127"/>
  <c r="D337" i="127"/>
  <c r="C337" i="127"/>
  <c r="N336" i="127"/>
  <c r="M336" i="127"/>
  <c r="L336" i="127"/>
  <c r="K336" i="127"/>
  <c r="J336" i="127"/>
  <c r="I336" i="127"/>
  <c r="H336" i="127"/>
  <c r="G336" i="127"/>
  <c r="E336" i="127"/>
  <c r="D336" i="127"/>
  <c r="C336" i="127"/>
  <c r="U194" i="127"/>
  <c r="S194" i="127"/>
  <c r="V194" i="127"/>
  <c r="U193" i="127"/>
  <c r="T193" i="127"/>
  <c r="S193" i="127"/>
  <c r="D205" i="127"/>
  <c r="E205" i="127"/>
  <c r="V185" i="127"/>
  <c r="U185" i="127"/>
  <c r="T185" i="127"/>
  <c r="S184" i="127"/>
  <c r="T184" i="127"/>
  <c r="V184" i="127"/>
  <c r="U180" i="127"/>
  <c r="S180" i="127"/>
  <c r="V180" i="127"/>
  <c r="U179" i="127"/>
  <c r="T179" i="127"/>
  <c r="S179" i="127"/>
  <c r="U178" i="127"/>
  <c r="T178" i="127"/>
  <c r="S178" i="127"/>
  <c r="U177" i="127"/>
  <c r="S177" i="127"/>
  <c r="V176" i="127"/>
  <c r="U176" i="127"/>
  <c r="T176" i="127"/>
  <c r="S176" i="127"/>
  <c r="R176" i="127"/>
  <c r="V175" i="127"/>
  <c r="U175" i="127"/>
  <c r="T175" i="127"/>
  <c r="S175" i="127"/>
  <c r="R175" i="127"/>
  <c r="V174" i="127"/>
  <c r="U174" i="127"/>
  <c r="T174" i="127"/>
  <c r="S174" i="127"/>
  <c r="R174" i="127"/>
  <c r="N315" i="127"/>
  <c r="M315" i="127"/>
  <c r="L315" i="127"/>
  <c r="K315" i="127"/>
  <c r="J315" i="127"/>
  <c r="I315" i="127"/>
  <c r="H315" i="127"/>
  <c r="G315" i="127"/>
  <c r="E315" i="127"/>
  <c r="D315" i="127"/>
  <c r="C315" i="127"/>
  <c r="V172" i="127"/>
  <c r="N314" i="127"/>
  <c r="M314" i="127"/>
  <c r="L314" i="127"/>
  <c r="U314" i="127" s="1"/>
  <c r="K314" i="127"/>
  <c r="J314" i="127"/>
  <c r="I314" i="127"/>
  <c r="H314" i="127"/>
  <c r="F314" i="127"/>
  <c r="E314" i="127"/>
  <c r="D314" i="127"/>
  <c r="C314" i="127"/>
  <c r="U171" i="127"/>
  <c r="T170" i="127"/>
  <c r="U170" i="127"/>
  <c r="I182" i="127"/>
  <c r="E182" i="127"/>
  <c r="M181" i="127"/>
  <c r="L162" i="127"/>
  <c r="H162" i="127"/>
  <c r="D162" i="127"/>
  <c r="V161" i="127"/>
  <c r="U161" i="127"/>
  <c r="T161" i="127"/>
  <c r="S161" i="127"/>
  <c r="R161" i="127"/>
  <c r="N160" i="127"/>
  <c r="U160" i="127" s="1"/>
  <c r="M160" i="127"/>
  <c r="L160" i="127"/>
  <c r="K160" i="127"/>
  <c r="J160" i="127"/>
  <c r="I160" i="127"/>
  <c r="T160" i="127" s="1"/>
  <c r="H160" i="127"/>
  <c r="G160" i="127"/>
  <c r="F160" i="127"/>
  <c r="S160" i="127" s="1"/>
  <c r="E160" i="127"/>
  <c r="D160" i="127"/>
  <c r="C160" i="127"/>
  <c r="N159" i="127"/>
  <c r="N301" i="127" s="1"/>
  <c r="M159" i="127"/>
  <c r="M301" i="127" s="1"/>
  <c r="L159" i="127"/>
  <c r="L301" i="127" s="1"/>
  <c r="U301" i="127" s="1"/>
  <c r="K159" i="127"/>
  <c r="K301" i="127" s="1"/>
  <c r="J159" i="127"/>
  <c r="I159" i="127"/>
  <c r="I301" i="127" s="1"/>
  <c r="H159" i="127"/>
  <c r="H301" i="127" s="1"/>
  <c r="G159" i="127"/>
  <c r="F159" i="127"/>
  <c r="F301" i="127" s="1"/>
  <c r="E159" i="127"/>
  <c r="E301" i="127" s="1"/>
  <c r="D159" i="127"/>
  <c r="D301" i="127" s="1"/>
  <c r="C159" i="127"/>
  <c r="C301" i="127" s="1"/>
  <c r="R301" i="127" s="1"/>
  <c r="V158" i="127"/>
  <c r="U158" i="127"/>
  <c r="T158" i="127"/>
  <c r="S158" i="127"/>
  <c r="R158" i="127"/>
  <c r="V157" i="127"/>
  <c r="U157" i="127"/>
  <c r="T157" i="127"/>
  <c r="S157" i="127"/>
  <c r="R157" i="127"/>
  <c r="V156" i="127"/>
  <c r="U156" i="127"/>
  <c r="T156" i="127"/>
  <c r="S156" i="127"/>
  <c r="R156" i="127"/>
  <c r="V155" i="127"/>
  <c r="U155" i="127"/>
  <c r="T155" i="127"/>
  <c r="S155" i="127"/>
  <c r="R155" i="127"/>
  <c r="V154" i="127"/>
  <c r="U154" i="127"/>
  <c r="T154" i="127"/>
  <c r="S154" i="127"/>
  <c r="R154" i="127"/>
  <c r="T153" i="127"/>
  <c r="S153" i="127"/>
  <c r="R153" i="127"/>
  <c r="M153" i="127"/>
  <c r="V153" i="127" s="1"/>
  <c r="N152" i="127"/>
  <c r="N294" i="127" s="1"/>
  <c r="M152" i="127"/>
  <c r="M294" i="127" s="1"/>
  <c r="L152" i="127"/>
  <c r="L294" i="127" s="1"/>
  <c r="U294" i="127" s="1"/>
  <c r="K152" i="127"/>
  <c r="K294" i="127" s="1"/>
  <c r="J152" i="127"/>
  <c r="J294" i="127" s="1"/>
  <c r="H152" i="127"/>
  <c r="H294" i="127" s="1"/>
  <c r="G152" i="127"/>
  <c r="G294" i="127" s="1"/>
  <c r="E152" i="127"/>
  <c r="E294" i="127" s="1"/>
  <c r="D152" i="127"/>
  <c r="D294" i="127" s="1"/>
  <c r="C152" i="127"/>
  <c r="C294" i="127" s="1"/>
  <c r="N151" i="127"/>
  <c r="U151" i="127" s="1"/>
  <c r="M151" i="127"/>
  <c r="M162" i="127" s="1"/>
  <c r="L151" i="127"/>
  <c r="K151" i="127"/>
  <c r="J151" i="127"/>
  <c r="I151" i="127"/>
  <c r="T151" i="127" s="1"/>
  <c r="H151" i="127"/>
  <c r="G151" i="127"/>
  <c r="F151" i="127"/>
  <c r="S151" i="127" s="1"/>
  <c r="E151" i="127"/>
  <c r="E162" i="127" s="1"/>
  <c r="D151" i="127"/>
  <c r="C151" i="127"/>
  <c r="N150" i="127"/>
  <c r="M150" i="127"/>
  <c r="M163" i="127" s="1"/>
  <c r="L150" i="127"/>
  <c r="U150" i="127" s="1"/>
  <c r="K150" i="127"/>
  <c r="K162" i="127" s="1"/>
  <c r="J150" i="127"/>
  <c r="I150" i="127"/>
  <c r="I163" i="127" s="1"/>
  <c r="H150" i="127"/>
  <c r="H163" i="127" s="1"/>
  <c r="G150" i="127"/>
  <c r="F150" i="127"/>
  <c r="E150" i="127"/>
  <c r="D150" i="127"/>
  <c r="D163" i="127" s="1"/>
  <c r="C150" i="127"/>
  <c r="C162" i="127" s="1"/>
  <c r="R162" i="127" s="1"/>
  <c r="V140" i="127"/>
  <c r="U140" i="127"/>
  <c r="T140" i="127"/>
  <c r="S140" i="127"/>
  <c r="R140" i="127"/>
  <c r="V139" i="127"/>
  <c r="U139" i="127"/>
  <c r="T139" i="127"/>
  <c r="S138" i="127"/>
  <c r="T138" i="127"/>
  <c r="T137" i="127"/>
  <c r="S137" i="127"/>
  <c r="V137" i="127"/>
  <c r="C134" i="127"/>
  <c r="U133" i="127"/>
  <c r="T133" i="127"/>
  <c r="S133" i="127"/>
  <c r="U132" i="127"/>
  <c r="T132" i="127"/>
  <c r="S132" i="127"/>
  <c r="U131" i="127"/>
  <c r="S131" i="127"/>
  <c r="V130" i="127"/>
  <c r="N341" i="127"/>
  <c r="M341" i="127"/>
  <c r="L341" i="127"/>
  <c r="U341" i="127" s="1"/>
  <c r="K341" i="127"/>
  <c r="J341" i="127"/>
  <c r="I341" i="127"/>
  <c r="T341" i="127" s="1"/>
  <c r="H341" i="127"/>
  <c r="G341" i="127"/>
  <c r="E341" i="127"/>
  <c r="D341" i="127"/>
  <c r="C341" i="127"/>
  <c r="V129" i="127"/>
  <c r="U129" i="127"/>
  <c r="T129" i="127"/>
  <c r="S129" i="127"/>
  <c r="R129" i="127"/>
  <c r="V128" i="127"/>
  <c r="U128" i="127"/>
  <c r="T128" i="127"/>
  <c r="S128" i="127"/>
  <c r="R128" i="127"/>
  <c r="V127" i="127"/>
  <c r="U127" i="127"/>
  <c r="T127" i="127"/>
  <c r="S127" i="127"/>
  <c r="R127" i="127"/>
  <c r="V126" i="127"/>
  <c r="U126" i="127"/>
  <c r="T126" i="127"/>
  <c r="S126" i="127"/>
  <c r="R126" i="127"/>
  <c r="V125" i="127"/>
  <c r="U125" i="127"/>
  <c r="T125" i="127"/>
  <c r="S125" i="127"/>
  <c r="R125" i="127"/>
  <c r="U124" i="127"/>
  <c r="T124" i="127"/>
  <c r="N135" i="127"/>
  <c r="J135" i="127"/>
  <c r="S123" i="127"/>
  <c r="R122" i="127"/>
  <c r="K135" i="127"/>
  <c r="J134" i="127"/>
  <c r="D135" i="127"/>
  <c r="C135" i="127"/>
  <c r="T116" i="127"/>
  <c r="T115" i="127"/>
  <c r="T100" i="127"/>
  <c r="S115" i="127"/>
  <c r="V115" i="127"/>
  <c r="U114" i="127"/>
  <c r="V114" i="127"/>
  <c r="K112" i="127"/>
  <c r="G112" i="127"/>
  <c r="H111" i="127"/>
  <c r="U110" i="127"/>
  <c r="T110" i="127"/>
  <c r="S110" i="127"/>
  <c r="U109" i="127"/>
  <c r="S109" i="127"/>
  <c r="V108" i="127"/>
  <c r="U108" i="127"/>
  <c r="T108" i="127"/>
  <c r="R108" i="127"/>
  <c r="M319" i="127"/>
  <c r="K319" i="127"/>
  <c r="I319" i="127"/>
  <c r="H319" i="127"/>
  <c r="G319" i="127"/>
  <c r="E319" i="127"/>
  <c r="D319" i="127"/>
  <c r="C319" i="127"/>
  <c r="V106" i="127"/>
  <c r="U106" i="127"/>
  <c r="T106" i="127"/>
  <c r="S106" i="127"/>
  <c r="R106" i="127"/>
  <c r="V105" i="127"/>
  <c r="U105" i="127"/>
  <c r="T105" i="127"/>
  <c r="S105" i="127"/>
  <c r="R105" i="127"/>
  <c r="V104" i="127"/>
  <c r="U104" i="127"/>
  <c r="T104" i="127"/>
  <c r="S104" i="127"/>
  <c r="R104" i="127"/>
  <c r="V103" i="127"/>
  <c r="U103" i="127"/>
  <c r="T103" i="127"/>
  <c r="S103" i="127"/>
  <c r="R103" i="127"/>
  <c r="V102" i="127"/>
  <c r="U102" i="127"/>
  <c r="T102" i="127"/>
  <c r="S102" i="127"/>
  <c r="R102" i="127"/>
  <c r="S101" i="127"/>
  <c r="C112" i="127"/>
  <c r="K111" i="127"/>
  <c r="G111" i="127"/>
  <c r="E112" i="127"/>
  <c r="D112" i="127"/>
  <c r="M93" i="127"/>
  <c r="N92" i="127"/>
  <c r="V91" i="127"/>
  <c r="U91" i="127"/>
  <c r="T91" i="127"/>
  <c r="S91" i="127"/>
  <c r="R91" i="127"/>
  <c r="S90" i="127"/>
  <c r="N90" i="127"/>
  <c r="M90" i="127"/>
  <c r="L90" i="127"/>
  <c r="U90" i="127" s="1"/>
  <c r="K90" i="127"/>
  <c r="J90" i="127"/>
  <c r="I90" i="127"/>
  <c r="T90" i="127" s="1"/>
  <c r="H90" i="127"/>
  <c r="G90" i="127"/>
  <c r="F90" i="127"/>
  <c r="E90" i="127"/>
  <c r="D90" i="127"/>
  <c r="C90" i="127"/>
  <c r="V90" i="127" s="1"/>
  <c r="V89" i="127"/>
  <c r="U89" i="127"/>
  <c r="T89" i="127"/>
  <c r="S89" i="127"/>
  <c r="R89" i="127"/>
  <c r="V88" i="127"/>
  <c r="U88" i="127"/>
  <c r="T88" i="127"/>
  <c r="S88" i="127"/>
  <c r="R88" i="127"/>
  <c r="V87" i="127"/>
  <c r="U87" i="127"/>
  <c r="T87" i="127"/>
  <c r="S87" i="127"/>
  <c r="R87" i="127"/>
  <c r="V86" i="127"/>
  <c r="U86" i="127"/>
  <c r="T86" i="127"/>
  <c r="S86" i="127"/>
  <c r="R86" i="127"/>
  <c r="V85" i="127"/>
  <c r="U85" i="127"/>
  <c r="T85" i="127"/>
  <c r="S85" i="127"/>
  <c r="R85" i="127"/>
  <c r="V84" i="127"/>
  <c r="U84" i="127"/>
  <c r="T84" i="127"/>
  <c r="S84" i="127"/>
  <c r="R84" i="127"/>
  <c r="V83" i="127"/>
  <c r="U83" i="127"/>
  <c r="T83" i="127"/>
  <c r="S83" i="127"/>
  <c r="R83" i="127"/>
  <c r="V82" i="127"/>
  <c r="U82" i="127"/>
  <c r="T82" i="127"/>
  <c r="S82" i="127"/>
  <c r="R82" i="127"/>
  <c r="N81" i="127"/>
  <c r="M81" i="127"/>
  <c r="L81" i="127"/>
  <c r="L93" i="127" s="1"/>
  <c r="U93" i="127" s="1"/>
  <c r="K81" i="127"/>
  <c r="J81" i="127"/>
  <c r="I81" i="127"/>
  <c r="I93" i="127" s="1"/>
  <c r="T93" i="127" s="1"/>
  <c r="H81" i="127"/>
  <c r="H93" i="127" s="1"/>
  <c r="G81" i="127"/>
  <c r="F81" i="127"/>
  <c r="S81" i="127" s="1"/>
  <c r="E81" i="127"/>
  <c r="E93" i="127" s="1"/>
  <c r="D81" i="127"/>
  <c r="D93" i="127" s="1"/>
  <c r="C81" i="127"/>
  <c r="N80" i="127"/>
  <c r="N93" i="127" s="1"/>
  <c r="M80" i="127"/>
  <c r="M92" i="127" s="1"/>
  <c r="L80" i="127"/>
  <c r="K80" i="127"/>
  <c r="K93" i="127" s="1"/>
  <c r="J80" i="127"/>
  <c r="J93" i="127" s="1"/>
  <c r="I80" i="127"/>
  <c r="I92" i="127" s="1"/>
  <c r="H80" i="127"/>
  <c r="G80" i="127"/>
  <c r="G93" i="127" s="1"/>
  <c r="F80" i="127"/>
  <c r="F92" i="127" s="1"/>
  <c r="E80" i="127"/>
  <c r="E92" i="127" s="1"/>
  <c r="D80" i="127"/>
  <c r="C80" i="127"/>
  <c r="C93" i="127" s="1"/>
  <c r="N350" i="127"/>
  <c r="L350" i="127"/>
  <c r="J350" i="127"/>
  <c r="H350" i="127"/>
  <c r="F350" i="127"/>
  <c r="D350" i="127"/>
  <c r="U68" i="127"/>
  <c r="M349" i="127"/>
  <c r="K349" i="127"/>
  <c r="I349" i="127"/>
  <c r="G349" i="127"/>
  <c r="E349" i="127"/>
  <c r="C349" i="127"/>
  <c r="N348" i="127"/>
  <c r="L348" i="127"/>
  <c r="J348" i="127"/>
  <c r="H348" i="127"/>
  <c r="F348" i="127"/>
  <c r="D348" i="127"/>
  <c r="D65" i="127"/>
  <c r="I64" i="127"/>
  <c r="U63" i="127"/>
  <c r="M344" i="127"/>
  <c r="K344" i="127"/>
  <c r="I344" i="127"/>
  <c r="G344" i="127"/>
  <c r="E344" i="127"/>
  <c r="C344" i="127"/>
  <c r="N343" i="127"/>
  <c r="L343" i="127"/>
  <c r="K343" i="127"/>
  <c r="J343" i="127"/>
  <c r="H343" i="127"/>
  <c r="G343" i="127"/>
  <c r="F343" i="127"/>
  <c r="D343" i="127"/>
  <c r="C343" i="127"/>
  <c r="S61" i="127"/>
  <c r="M342" i="127"/>
  <c r="K342" i="127"/>
  <c r="I342" i="127"/>
  <c r="H342" i="127"/>
  <c r="G342" i="127"/>
  <c r="E342" i="127"/>
  <c r="D342" i="127"/>
  <c r="C342" i="127"/>
  <c r="V60" i="127"/>
  <c r="U60" i="127"/>
  <c r="T60" i="127"/>
  <c r="S60" i="127"/>
  <c r="R60" i="127"/>
  <c r="V59" i="127"/>
  <c r="U59" i="127"/>
  <c r="T59" i="127"/>
  <c r="S59" i="127"/>
  <c r="R59" i="127"/>
  <c r="V58" i="127"/>
  <c r="U58" i="127"/>
  <c r="T58" i="127"/>
  <c r="S58" i="127"/>
  <c r="R58" i="127"/>
  <c r="V57" i="127"/>
  <c r="U57" i="127"/>
  <c r="T57" i="127"/>
  <c r="S57" i="127"/>
  <c r="R57" i="127"/>
  <c r="V56" i="127"/>
  <c r="U56" i="127"/>
  <c r="T56" i="127"/>
  <c r="S56" i="127"/>
  <c r="R56" i="127"/>
  <c r="V55" i="127"/>
  <c r="U55" i="127"/>
  <c r="T55" i="127"/>
  <c r="S55" i="127"/>
  <c r="R55" i="127"/>
  <c r="J335" i="127"/>
  <c r="H335" i="127"/>
  <c r="S54" i="127"/>
  <c r="D335" i="127"/>
  <c r="M334" i="127"/>
  <c r="K334" i="127"/>
  <c r="I334" i="127"/>
  <c r="G334" i="127"/>
  <c r="E334" i="127"/>
  <c r="C334" i="127"/>
  <c r="N333" i="127"/>
  <c r="L333" i="127"/>
  <c r="J333" i="127"/>
  <c r="D333" i="127"/>
  <c r="U46" i="127"/>
  <c r="M328" i="127"/>
  <c r="K328" i="127"/>
  <c r="I328" i="127"/>
  <c r="H328" i="127"/>
  <c r="G328" i="127"/>
  <c r="E328" i="127"/>
  <c r="C328" i="127"/>
  <c r="N327" i="127"/>
  <c r="L327" i="127"/>
  <c r="J327" i="127"/>
  <c r="H327" i="127"/>
  <c r="F327" i="127"/>
  <c r="D327" i="127"/>
  <c r="M326" i="127"/>
  <c r="K326" i="127"/>
  <c r="I326" i="127"/>
  <c r="G326" i="127"/>
  <c r="E326" i="127"/>
  <c r="C326" i="127"/>
  <c r="U40" i="127"/>
  <c r="N322" i="127"/>
  <c r="L322" i="127"/>
  <c r="J322" i="127"/>
  <c r="H322" i="127"/>
  <c r="F322" i="127"/>
  <c r="D322" i="127"/>
  <c r="M321" i="127"/>
  <c r="K321" i="127"/>
  <c r="I321" i="127"/>
  <c r="G321" i="127"/>
  <c r="E321" i="127"/>
  <c r="C321" i="127"/>
  <c r="T38" i="127"/>
  <c r="N320" i="127"/>
  <c r="L320" i="127"/>
  <c r="J320" i="127"/>
  <c r="H320" i="127"/>
  <c r="F320" i="127"/>
  <c r="D320" i="127"/>
  <c r="V37" i="127"/>
  <c r="U37" i="127"/>
  <c r="T37" i="127"/>
  <c r="S37" i="127"/>
  <c r="R37" i="127"/>
  <c r="V36" i="127"/>
  <c r="U36" i="127"/>
  <c r="T36" i="127"/>
  <c r="S36" i="127"/>
  <c r="R36" i="127"/>
  <c r="V35" i="127"/>
  <c r="U35" i="127"/>
  <c r="T35" i="127"/>
  <c r="S35" i="127"/>
  <c r="R35" i="127"/>
  <c r="V34" i="127"/>
  <c r="U34" i="127"/>
  <c r="T34" i="127"/>
  <c r="S34" i="127"/>
  <c r="R34" i="127"/>
  <c r="V33" i="127"/>
  <c r="U33" i="127"/>
  <c r="T33" i="127"/>
  <c r="S33" i="127"/>
  <c r="R33" i="127"/>
  <c r="V32" i="127"/>
  <c r="U32" i="127"/>
  <c r="T32" i="127"/>
  <c r="S32" i="127"/>
  <c r="R32" i="127"/>
  <c r="M313" i="127"/>
  <c r="K313" i="127"/>
  <c r="I313" i="127"/>
  <c r="G313" i="127"/>
  <c r="E313" i="127"/>
  <c r="D313" i="127"/>
  <c r="C313" i="127"/>
  <c r="L312" i="127"/>
  <c r="I312" i="127"/>
  <c r="D312" i="127"/>
  <c r="M311" i="127"/>
  <c r="J311" i="127"/>
  <c r="I311" i="127"/>
  <c r="E311" i="127"/>
  <c r="M22" i="127"/>
  <c r="L22" i="127"/>
  <c r="E22" i="127"/>
  <c r="V21" i="127"/>
  <c r="U21" i="127"/>
  <c r="T21" i="127"/>
  <c r="S21" i="127"/>
  <c r="R21" i="127"/>
  <c r="N20" i="127"/>
  <c r="M20" i="127"/>
  <c r="M302" i="127" s="1"/>
  <c r="L20" i="127"/>
  <c r="K20" i="127"/>
  <c r="K302" i="127" s="1"/>
  <c r="J20" i="127"/>
  <c r="I20" i="127"/>
  <c r="I302" i="127" s="1"/>
  <c r="H20" i="127"/>
  <c r="G20" i="127"/>
  <c r="G302" i="127" s="1"/>
  <c r="F20" i="127"/>
  <c r="E20" i="127"/>
  <c r="E302" i="127" s="1"/>
  <c r="D20" i="127"/>
  <c r="C20" i="127"/>
  <c r="C302" i="127" s="1"/>
  <c r="V19" i="127"/>
  <c r="U19" i="127"/>
  <c r="T19" i="127"/>
  <c r="S19" i="127"/>
  <c r="R19" i="127"/>
  <c r="V18" i="127"/>
  <c r="U18" i="127"/>
  <c r="T18" i="127"/>
  <c r="S18" i="127"/>
  <c r="R18" i="127"/>
  <c r="V17" i="127"/>
  <c r="U17" i="127"/>
  <c r="T17" i="127"/>
  <c r="S17" i="127"/>
  <c r="R17" i="127"/>
  <c r="V16" i="127"/>
  <c r="U16" i="127"/>
  <c r="T16" i="127"/>
  <c r="S16" i="127"/>
  <c r="R16" i="127"/>
  <c r="V15" i="127"/>
  <c r="U15" i="127"/>
  <c r="T15" i="127"/>
  <c r="S15" i="127"/>
  <c r="R15" i="127"/>
  <c r="V14" i="127"/>
  <c r="U14" i="127"/>
  <c r="T14" i="127"/>
  <c r="S14" i="127"/>
  <c r="R14" i="127"/>
  <c r="V13" i="127"/>
  <c r="U13" i="127"/>
  <c r="T13" i="127"/>
  <c r="S13" i="127"/>
  <c r="R13" i="127"/>
  <c r="V12" i="127"/>
  <c r="U12" i="127"/>
  <c r="T12" i="127"/>
  <c r="S12" i="127"/>
  <c r="R12" i="127"/>
  <c r="N11" i="127"/>
  <c r="N23" i="127" s="1"/>
  <c r="M11" i="127"/>
  <c r="L11" i="127"/>
  <c r="L293" i="127" s="1"/>
  <c r="K11" i="127"/>
  <c r="K293" i="127" s="1"/>
  <c r="J11" i="127"/>
  <c r="I11" i="127"/>
  <c r="H11" i="127"/>
  <c r="H293" i="127" s="1"/>
  <c r="G11" i="127"/>
  <c r="G293" i="127" s="1"/>
  <c r="F11" i="127"/>
  <c r="E11" i="127"/>
  <c r="D11" i="127"/>
  <c r="D293" i="127" s="1"/>
  <c r="C11" i="127"/>
  <c r="C293" i="127" s="1"/>
  <c r="R10" i="127"/>
  <c r="N10" i="127"/>
  <c r="M10" i="127"/>
  <c r="K10" i="127"/>
  <c r="K22" i="127" s="1"/>
  <c r="J10" i="127"/>
  <c r="I10" i="127"/>
  <c r="I292" i="127" s="1"/>
  <c r="H10" i="127"/>
  <c r="G10" i="127"/>
  <c r="F10" i="127"/>
  <c r="E10" i="127"/>
  <c r="E292" i="127" s="1"/>
  <c r="D10" i="127"/>
  <c r="C10" i="127"/>
  <c r="C23" i="127" s="1"/>
  <c r="AR530" i="126"/>
  <c r="AN530" i="126"/>
  <c r="AJ530" i="126"/>
  <c r="AF530" i="126"/>
  <c r="AB530" i="126"/>
  <c r="X530" i="126"/>
  <c r="T530" i="126"/>
  <c r="P530" i="126"/>
  <c r="L530" i="126"/>
  <c r="H530" i="126"/>
  <c r="F530" i="126"/>
  <c r="AS529" i="126"/>
  <c r="AR529" i="126"/>
  <c r="AQ529" i="126"/>
  <c r="AP529" i="126"/>
  <c r="AO529" i="126"/>
  <c r="AN529" i="126"/>
  <c r="AM529" i="126"/>
  <c r="AL529" i="126"/>
  <c r="AK529" i="126"/>
  <c r="AJ529" i="126"/>
  <c r="AI529" i="126"/>
  <c r="AH529" i="126"/>
  <c r="AG529" i="126"/>
  <c r="AF529" i="126"/>
  <c r="AE529" i="126"/>
  <c r="AD529" i="126"/>
  <c r="AC529" i="126"/>
  <c r="AB529" i="126"/>
  <c r="AA529" i="126"/>
  <c r="Z529" i="126"/>
  <c r="Y529" i="126"/>
  <c r="X529" i="126"/>
  <c r="W529" i="126"/>
  <c r="V529" i="126"/>
  <c r="U529" i="126"/>
  <c r="T529" i="126"/>
  <c r="S529" i="126"/>
  <c r="R529" i="126"/>
  <c r="Q529" i="126"/>
  <c r="P529" i="126"/>
  <c r="O529" i="126"/>
  <c r="M529" i="126"/>
  <c r="L529" i="126"/>
  <c r="K529" i="126"/>
  <c r="J529" i="126"/>
  <c r="I529" i="126"/>
  <c r="H529" i="126"/>
  <c r="G529" i="126"/>
  <c r="N528" i="126"/>
  <c r="N529" i="126" s="1"/>
  <c r="AS527" i="126"/>
  <c r="AR527" i="126"/>
  <c r="AQ527" i="126"/>
  <c r="AP527" i="126"/>
  <c r="AO527" i="126"/>
  <c r="AN527" i="126"/>
  <c r="AM527" i="126"/>
  <c r="AL527" i="126"/>
  <c r="AK527" i="126"/>
  <c r="AJ527" i="126"/>
  <c r="AI527" i="126"/>
  <c r="AH527" i="126"/>
  <c r="AG527" i="126"/>
  <c r="AF527" i="126"/>
  <c r="AE527" i="126"/>
  <c r="AD527" i="126"/>
  <c r="AC527" i="126"/>
  <c r="AB527" i="126"/>
  <c r="AA527" i="126"/>
  <c r="Z527" i="126"/>
  <c r="Y527" i="126"/>
  <c r="X527" i="126"/>
  <c r="W527" i="126"/>
  <c r="V527" i="126"/>
  <c r="U527" i="126"/>
  <c r="T527" i="126"/>
  <c r="S527" i="126"/>
  <c r="R527" i="126"/>
  <c r="Q527" i="126"/>
  <c r="P527" i="126"/>
  <c r="O527" i="126"/>
  <c r="M527" i="126"/>
  <c r="L527" i="126"/>
  <c r="K527" i="126"/>
  <c r="J527" i="126"/>
  <c r="I527" i="126"/>
  <c r="H527" i="126"/>
  <c r="G527" i="126"/>
  <c r="N526" i="126"/>
  <c r="N527" i="126" s="1"/>
  <c r="AS525" i="126"/>
  <c r="AR525" i="126"/>
  <c r="AQ525" i="126"/>
  <c r="AP525" i="126"/>
  <c r="AO525" i="126"/>
  <c r="AN525" i="126"/>
  <c r="AM525" i="126"/>
  <c r="AL525" i="126"/>
  <c r="AK525" i="126"/>
  <c r="AJ525" i="126"/>
  <c r="AI525" i="126"/>
  <c r="AH525" i="126"/>
  <c r="AG525" i="126"/>
  <c r="AF525" i="126"/>
  <c r="AE525" i="126"/>
  <c r="AD525" i="126"/>
  <c r="AC525" i="126"/>
  <c r="AB525" i="126"/>
  <c r="AA525" i="126"/>
  <c r="Z525" i="126"/>
  <c r="Y525" i="126"/>
  <c r="X525" i="126"/>
  <c r="W525" i="126"/>
  <c r="V525" i="126"/>
  <c r="U525" i="126"/>
  <c r="T525" i="126"/>
  <c r="S525" i="126"/>
  <c r="R525" i="126"/>
  <c r="Q525" i="126"/>
  <c r="P525" i="126"/>
  <c r="O525" i="126"/>
  <c r="M525" i="126"/>
  <c r="L525" i="126"/>
  <c r="K525" i="126"/>
  <c r="J525" i="126"/>
  <c r="I525" i="126"/>
  <c r="H525" i="126"/>
  <c r="G525" i="126"/>
  <c r="N524" i="126"/>
  <c r="N525" i="126" s="1"/>
  <c r="AS523" i="126"/>
  <c r="AS530" i="126" s="1"/>
  <c r="AR523" i="126"/>
  <c r="AQ523" i="126"/>
  <c r="AQ530" i="126" s="1"/>
  <c r="AP523" i="126"/>
  <c r="AP530" i="126" s="1"/>
  <c r="AO523" i="126"/>
  <c r="AO530" i="126" s="1"/>
  <c r="AN523" i="126"/>
  <c r="AM523" i="126"/>
  <c r="AM530" i="126" s="1"/>
  <c r="AL523" i="126"/>
  <c r="AL530" i="126" s="1"/>
  <c r="AK523" i="126"/>
  <c r="AK530" i="126" s="1"/>
  <c r="AJ523" i="126"/>
  <c r="AI523" i="126"/>
  <c r="AI530" i="126" s="1"/>
  <c r="AH523" i="126"/>
  <c r="AH530" i="126" s="1"/>
  <c r="AG523" i="126"/>
  <c r="AG530" i="126" s="1"/>
  <c r="AF523" i="126"/>
  <c r="AE523" i="126"/>
  <c r="AE530" i="126" s="1"/>
  <c r="AD523" i="126"/>
  <c r="AD530" i="126" s="1"/>
  <c r="AC523" i="126"/>
  <c r="AC530" i="126" s="1"/>
  <c r="AB523" i="126"/>
  <c r="AA523" i="126"/>
  <c r="AA530" i="126" s="1"/>
  <c r="Z523" i="126"/>
  <c r="Z530" i="126" s="1"/>
  <c r="Y523" i="126"/>
  <c r="Y530" i="126" s="1"/>
  <c r="X523" i="126"/>
  <c r="W523" i="126"/>
  <c r="W530" i="126" s="1"/>
  <c r="V523" i="126"/>
  <c r="V530" i="126" s="1"/>
  <c r="U523" i="126"/>
  <c r="U530" i="126" s="1"/>
  <c r="T523" i="126"/>
  <c r="S523" i="126"/>
  <c r="S530" i="126" s="1"/>
  <c r="R523" i="126"/>
  <c r="R530" i="126" s="1"/>
  <c r="Q523" i="126"/>
  <c r="Q530" i="126" s="1"/>
  <c r="P523" i="126"/>
  <c r="O523" i="126"/>
  <c r="O530" i="126" s="1"/>
  <c r="M523" i="126"/>
  <c r="M530" i="126" s="1"/>
  <c r="L523" i="126"/>
  <c r="K523" i="126"/>
  <c r="K530" i="126" s="1"/>
  <c r="J523" i="126"/>
  <c r="J530" i="126" s="1"/>
  <c r="I523" i="126"/>
  <c r="I530" i="126" s="1"/>
  <c r="H523" i="126"/>
  <c r="G523" i="126"/>
  <c r="G530" i="126" s="1"/>
  <c r="N522" i="126"/>
  <c r="N523" i="126" s="1"/>
  <c r="AS521" i="126"/>
  <c r="AQ521" i="126"/>
  <c r="AO521" i="126"/>
  <c r="AM521" i="126"/>
  <c r="AK521" i="126"/>
  <c r="AI521" i="126"/>
  <c r="AG521" i="126"/>
  <c r="AE521" i="126"/>
  <c r="AC521" i="126"/>
  <c r="AA521" i="126"/>
  <c r="Y521" i="126"/>
  <c r="W521" i="126"/>
  <c r="U521" i="126"/>
  <c r="S521" i="126"/>
  <c r="Q521" i="126"/>
  <c r="O521" i="126"/>
  <c r="M521" i="126"/>
  <c r="K521" i="126"/>
  <c r="I521" i="126"/>
  <c r="G521" i="126"/>
  <c r="F521" i="126"/>
  <c r="AS520" i="126"/>
  <c r="AR520" i="126"/>
  <c r="AQ520" i="126"/>
  <c r="AP520" i="126"/>
  <c r="AO520" i="126"/>
  <c r="AN520" i="126"/>
  <c r="AM520" i="126"/>
  <c r="AL520" i="126"/>
  <c r="AK520" i="126"/>
  <c r="AJ520" i="126"/>
  <c r="AI520" i="126"/>
  <c r="AH520" i="126"/>
  <c r="AG520" i="126"/>
  <c r="AF520" i="126"/>
  <c r="AE520" i="126"/>
  <c r="AD520" i="126"/>
  <c r="AC520" i="126"/>
  <c r="AB520" i="126"/>
  <c r="AA520" i="126"/>
  <c r="Z520" i="126"/>
  <c r="Y520" i="126"/>
  <c r="X520" i="126"/>
  <c r="W520" i="126"/>
  <c r="V520" i="126"/>
  <c r="U520" i="126"/>
  <c r="T520" i="126"/>
  <c r="S520" i="126"/>
  <c r="R520" i="126"/>
  <c r="Q520" i="126"/>
  <c r="P520" i="126"/>
  <c r="O520" i="126"/>
  <c r="N520" i="126"/>
  <c r="M520" i="126"/>
  <c r="L520" i="126"/>
  <c r="K520" i="126"/>
  <c r="J520" i="126"/>
  <c r="I520" i="126"/>
  <c r="H520" i="126"/>
  <c r="G520" i="126"/>
  <c r="AT519" i="126"/>
  <c r="AT520" i="126" s="1"/>
  <c r="N519" i="126"/>
  <c r="AT518" i="126"/>
  <c r="N518" i="126"/>
  <c r="AS517" i="126"/>
  <c r="AR517" i="126"/>
  <c r="AQ517" i="126"/>
  <c r="AP517" i="126"/>
  <c r="AO517" i="126"/>
  <c r="AN517" i="126"/>
  <c r="AM517" i="126"/>
  <c r="AL517" i="126"/>
  <c r="AK517" i="126"/>
  <c r="AJ517" i="126"/>
  <c r="AI517" i="126"/>
  <c r="AH517" i="126"/>
  <c r="AG517" i="126"/>
  <c r="AF517" i="126"/>
  <c r="AE517" i="126"/>
  <c r="AD517" i="126"/>
  <c r="AC517" i="126"/>
  <c r="AB517" i="126"/>
  <c r="AA517" i="126"/>
  <c r="Z517" i="126"/>
  <c r="Y517" i="126"/>
  <c r="X517" i="126"/>
  <c r="W517" i="126"/>
  <c r="V517" i="126"/>
  <c r="U517" i="126"/>
  <c r="T517" i="126"/>
  <c r="S517" i="126"/>
  <c r="R517" i="126"/>
  <c r="Q517" i="126"/>
  <c r="P517" i="126"/>
  <c r="O517" i="126"/>
  <c r="N517" i="126"/>
  <c r="M517" i="126"/>
  <c r="L517" i="126"/>
  <c r="K517" i="126"/>
  <c r="J517" i="126"/>
  <c r="I517" i="126"/>
  <c r="H517" i="126"/>
  <c r="G517" i="126"/>
  <c r="AT516" i="126"/>
  <c r="AT517" i="126" s="1"/>
  <c r="N516" i="126"/>
  <c r="AT515" i="126"/>
  <c r="N515" i="126"/>
  <c r="AS514" i="126"/>
  <c r="AR514" i="126"/>
  <c r="AR521" i="126" s="1"/>
  <c r="AQ514" i="126"/>
  <c r="AP514" i="126"/>
  <c r="AP521" i="126" s="1"/>
  <c r="AO514" i="126"/>
  <c r="AN514" i="126"/>
  <c r="AN521" i="126" s="1"/>
  <c r="AM514" i="126"/>
  <c r="AL514" i="126"/>
  <c r="AL521" i="126" s="1"/>
  <c r="AK514" i="126"/>
  <c r="AJ514" i="126"/>
  <c r="AJ521" i="126" s="1"/>
  <c r="AI514" i="126"/>
  <c r="AH514" i="126"/>
  <c r="AH521" i="126" s="1"/>
  <c r="AG514" i="126"/>
  <c r="AF514" i="126"/>
  <c r="AF521" i="126" s="1"/>
  <c r="AE514" i="126"/>
  <c r="AD514" i="126"/>
  <c r="AD521" i="126" s="1"/>
  <c r="AC514" i="126"/>
  <c r="AB514" i="126"/>
  <c r="AB521" i="126" s="1"/>
  <c r="AA514" i="126"/>
  <c r="Z514" i="126"/>
  <c r="Z521" i="126" s="1"/>
  <c r="Y514" i="126"/>
  <c r="X514" i="126"/>
  <c r="X521" i="126" s="1"/>
  <c r="W514" i="126"/>
  <c r="V514" i="126"/>
  <c r="V521" i="126" s="1"/>
  <c r="U514" i="126"/>
  <c r="T514" i="126"/>
  <c r="T521" i="126" s="1"/>
  <c r="S514" i="126"/>
  <c r="R514" i="126"/>
  <c r="R521" i="126" s="1"/>
  <c r="Q514" i="126"/>
  <c r="P514" i="126"/>
  <c r="P521" i="126" s="1"/>
  <c r="O514" i="126"/>
  <c r="N514" i="126"/>
  <c r="M514" i="126"/>
  <c r="L514" i="126"/>
  <c r="L521" i="126" s="1"/>
  <c r="K514" i="126"/>
  <c r="J514" i="126"/>
  <c r="J521" i="126" s="1"/>
  <c r="I514" i="126"/>
  <c r="H514" i="126"/>
  <c r="H521" i="126" s="1"/>
  <c r="G514" i="126"/>
  <c r="AT513" i="126"/>
  <c r="N513" i="126"/>
  <c r="AT512" i="126"/>
  <c r="N512" i="126"/>
  <c r="AT511" i="126"/>
  <c r="N511" i="126"/>
  <c r="AT510" i="126"/>
  <c r="N510" i="126"/>
  <c r="AT509" i="126"/>
  <c r="N509" i="126"/>
  <c r="AT508" i="126"/>
  <c r="N508" i="126"/>
  <c r="AT507" i="126"/>
  <c r="N507" i="126"/>
  <c r="AT506" i="126"/>
  <c r="N506" i="126"/>
  <c r="AT505" i="126"/>
  <c r="AT514" i="126" s="1"/>
  <c r="N505" i="126"/>
  <c r="AT504" i="126"/>
  <c r="AT521" i="126" s="1"/>
  <c r="N504" i="126"/>
  <c r="N521" i="126" s="1"/>
  <c r="F503" i="126"/>
  <c r="AS502" i="126"/>
  <c r="AR502" i="126"/>
  <c r="AQ502" i="126"/>
  <c r="AP502" i="126"/>
  <c r="AO502" i="126"/>
  <c r="AN502" i="126"/>
  <c r="AM502" i="126"/>
  <c r="AL502" i="126"/>
  <c r="AK502" i="126"/>
  <c r="AJ502" i="126"/>
  <c r="AI502" i="126"/>
  <c r="AH502" i="126"/>
  <c r="AG502" i="126"/>
  <c r="AF502" i="126"/>
  <c r="AE502" i="126"/>
  <c r="AD502" i="126"/>
  <c r="AC502" i="126"/>
  <c r="AB502" i="126"/>
  <c r="AA502" i="126"/>
  <c r="Z502" i="126"/>
  <c r="Y502" i="126"/>
  <c r="X502" i="126"/>
  <c r="W502" i="126"/>
  <c r="V502" i="126"/>
  <c r="U502" i="126"/>
  <c r="T502" i="126"/>
  <c r="S502" i="126"/>
  <c r="R502" i="126"/>
  <c r="Q502" i="126"/>
  <c r="P502" i="126"/>
  <c r="O502" i="126"/>
  <c r="M502" i="126"/>
  <c r="L502" i="126"/>
  <c r="K502" i="126"/>
  <c r="J502" i="126"/>
  <c r="I502" i="126"/>
  <c r="H502" i="126"/>
  <c r="G502" i="126"/>
  <c r="F502" i="126"/>
  <c r="AT501" i="126"/>
  <c r="N501" i="126"/>
  <c r="AT500" i="126"/>
  <c r="N500" i="126"/>
  <c r="AT499" i="126"/>
  <c r="N499" i="126"/>
  <c r="AT498" i="126"/>
  <c r="N498" i="126"/>
  <c r="AT497" i="126"/>
  <c r="N497" i="126"/>
  <c r="AT496" i="126"/>
  <c r="N496" i="126"/>
  <c r="AT495" i="126"/>
  <c r="N495" i="126"/>
  <c r="AT494" i="126"/>
  <c r="N494" i="126"/>
  <c r="AT493" i="126"/>
  <c r="AT502" i="126" s="1"/>
  <c r="N493" i="126"/>
  <c r="N502" i="126" s="1"/>
  <c r="AS492" i="126"/>
  <c r="AR492" i="126"/>
  <c r="AQ492" i="126"/>
  <c r="AP492" i="126"/>
  <c r="AO492" i="126"/>
  <c r="AN492" i="126"/>
  <c r="AM492" i="126"/>
  <c r="AL492" i="126"/>
  <c r="AK492" i="126"/>
  <c r="AJ492" i="126"/>
  <c r="AI492" i="126"/>
  <c r="AH492" i="126"/>
  <c r="AG492" i="126"/>
  <c r="AF492" i="126"/>
  <c r="AE492" i="126"/>
  <c r="AD492" i="126"/>
  <c r="AC492" i="126"/>
  <c r="AB492" i="126"/>
  <c r="AA492" i="126"/>
  <c r="Z492" i="126"/>
  <c r="Y492" i="126"/>
  <c r="X492" i="126"/>
  <c r="W492" i="126"/>
  <c r="V492" i="126"/>
  <c r="U492" i="126"/>
  <c r="T492" i="126"/>
  <c r="S492" i="126"/>
  <c r="R492" i="126"/>
  <c r="Q492" i="126"/>
  <c r="P492" i="126"/>
  <c r="O492" i="126"/>
  <c r="N492" i="126"/>
  <c r="M492" i="126"/>
  <c r="L492" i="126"/>
  <c r="K492" i="126"/>
  <c r="J492" i="126"/>
  <c r="I492" i="126"/>
  <c r="H492" i="126"/>
  <c r="G492" i="126"/>
  <c r="AT491" i="126"/>
  <c r="N491" i="126"/>
  <c r="AT490" i="126"/>
  <c r="N490" i="126"/>
  <c r="AT489" i="126"/>
  <c r="N489" i="126"/>
  <c r="AT488" i="126"/>
  <c r="N488" i="126"/>
  <c r="AT487" i="126"/>
  <c r="N487" i="126"/>
  <c r="AT486" i="126"/>
  <c r="N486" i="126"/>
  <c r="AT485" i="126"/>
  <c r="N485" i="126"/>
  <c r="AT484" i="126"/>
  <c r="N484" i="126"/>
  <c r="AT483" i="126"/>
  <c r="AT492" i="126" s="1"/>
  <c r="N483" i="126"/>
  <c r="AS482" i="126"/>
  <c r="AR482" i="126"/>
  <c r="AQ482" i="126"/>
  <c r="AP482" i="126"/>
  <c r="AO482" i="126"/>
  <c r="AN482" i="126"/>
  <c r="AM482" i="126"/>
  <c r="AL482" i="126"/>
  <c r="AK482" i="126"/>
  <c r="AJ482" i="126"/>
  <c r="AI482" i="126"/>
  <c r="AH482" i="126"/>
  <c r="AG482" i="126"/>
  <c r="AF482" i="126"/>
  <c r="AE482" i="126"/>
  <c r="AD482" i="126"/>
  <c r="AC482" i="126"/>
  <c r="AB482" i="126"/>
  <c r="AA482" i="126"/>
  <c r="Z482" i="126"/>
  <c r="Y482" i="126"/>
  <c r="X482" i="126"/>
  <c r="W482" i="126"/>
  <c r="V482" i="126"/>
  <c r="U482" i="126"/>
  <c r="T482" i="126"/>
  <c r="S482" i="126"/>
  <c r="R482" i="126"/>
  <c r="Q482" i="126"/>
  <c r="P482" i="126"/>
  <c r="O482" i="126"/>
  <c r="N482" i="126"/>
  <c r="M482" i="126"/>
  <c r="L482" i="126"/>
  <c r="K482" i="126"/>
  <c r="J482" i="126"/>
  <c r="I482" i="126"/>
  <c r="H482" i="126"/>
  <c r="G482" i="126"/>
  <c r="AT481" i="126"/>
  <c r="N481" i="126"/>
  <c r="AT480" i="126"/>
  <c r="N480" i="126"/>
  <c r="AT479" i="126"/>
  <c r="N479" i="126"/>
  <c r="AT478" i="126"/>
  <c r="N478" i="126"/>
  <c r="AT477" i="126"/>
  <c r="N477" i="126"/>
  <c r="AT476" i="126"/>
  <c r="AT482" i="126" s="1"/>
  <c r="N476" i="126"/>
  <c r="AS475" i="126"/>
  <c r="AR475" i="126"/>
  <c r="AQ475" i="126"/>
  <c r="AP475" i="126"/>
  <c r="AO475" i="126"/>
  <c r="AN475" i="126"/>
  <c r="AM475" i="126"/>
  <c r="AL475" i="126"/>
  <c r="AK475" i="126"/>
  <c r="AJ475" i="126"/>
  <c r="AI475" i="126"/>
  <c r="AH475" i="126"/>
  <c r="AG475" i="126"/>
  <c r="AF475" i="126"/>
  <c r="AE475" i="126"/>
  <c r="AD475" i="126"/>
  <c r="AC475" i="126"/>
  <c r="AB475" i="126"/>
  <c r="AA475" i="126"/>
  <c r="Z475" i="126"/>
  <c r="Y475" i="126"/>
  <c r="X475" i="126"/>
  <c r="W475" i="126"/>
  <c r="V475" i="126"/>
  <c r="U475" i="126"/>
  <c r="T475" i="126"/>
  <c r="S475" i="126"/>
  <c r="R475" i="126"/>
  <c r="Q475" i="126"/>
  <c r="P475" i="126"/>
  <c r="O475" i="126"/>
  <c r="N475" i="126"/>
  <c r="M475" i="126"/>
  <c r="L475" i="126"/>
  <c r="K475" i="126"/>
  <c r="J475" i="126"/>
  <c r="I475" i="126"/>
  <c r="H475" i="126"/>
  <c r="G475" i="126"/>
  <c r="AT474" i="126"/>
  <c r="N474" i="126"/>
  <c r="AT473" i="126"/>
  <c r="AT475" i="126" s="1"/>
  <c r="N473" i="126"/>
  <c r="AS472" i="126"/>
  <c r="AR472" i="126"/>
  <c r="AQ472" i="126"/>
  <c r="AP472" i="126"/>
  <c r="AO472" i="126"/>
  <c r="AN472" i="126"/>
  <c r="AM472" i="126"/>
  <c r="AL472" i="126"/>
  <c r="AK472" i="126"/>
  <c r="AJ472" i="126"/>
  <c r="AI472" i="126"/>
  <c r="AH472" i="126"/>
  <c r="AG472" i="126"/>
  <c r="AF472" i="126"/>
  <c r="AE472" i="126"/>
  <c r="AD472" i="126"/>
  <c r="AC472" i="126"/>
  <c r="AB472" i="126"/>
  <c r="AA472" i="126"/>
  <c r="Z472" i="126"/>
  <c r="Y472" i="126"/>
  <c r="X472" i="126"/>
  <c r="W472" i="126"/>
  <c r="V472" i="126"/>
  <c r="U472" i="126"/>
  <c r="T472" i="126"/>
  <c r="S472" i="126"/>
  <c r="R472" i="126"/>
  <c r="Q472" i="126"/>
  <c r="P472" i="126"/>
  <c r="O472" i="126"/>
  <c r="N472" i="126"/>
  <c r="M472" i="126"/>
  <c r="L472" i="126"/>
  <c r="K472" i="126"/>
  <c r="J472" i="126"/>
  <c r="I472" i="126"/>
  <c r="H472" i="126"/>
  <c r="G472" i="126"/>
  <c r="AT471" i="126"/>
  <c r="N471" i="126"/>
  <c r="AT470" i="126"/>
  <c r="N470" i="126"/>
  <c r="AT469" i="126"/>
  <c r="N469" i="126"/>
  <c r="AT468" i="126"/>
  <c r="N468" i="126"/>
  <c r="AT467" i="126"/>
  <c r="N467" i="126"/>
  <c r="AT466" i="126"/>
  <c r="N466" i="126"/>
  <c r="AT465" i="126"/>
  <c r="N465" i="126"/>
  <c r="AT464" i="126"/>
  <c r="N464" i="126"/>
  <c r="AT463" i="126"/>
  <c r="N463" i="126"/>
  <c r="AT462" i="126"/>
  <c r="N462" i="126"/>
  <c r="AT461" i="126"/>
  <c r="N461" i="126"/>
  <c r="AT460" i="126"/>
  <c r="N460" i="126"/>
  <c r="AT459" i="126"/>
  <c r="N459" i="126"/>
  <c r="AT458" i="126"/>
  <c r="N458" i="126"/>
  <c r="AT457" i="126"/>
  <c r="N457" i="126"/>
  <c r="AT456" i="126"/>
  <c r="N456" i="126"/>
  <c r="AT455" i="126"/>
  <c r="N455" i="126"/>
  <c r="AT454" i="126"/>
  <c r="N454" i="126"/>
  <c r="AT453" i="126"/>
  <c r="N453" i="126"/>
  <c r="AT452" i="126"/>
  <c r="N452" i="126"/>
  <c r="AT451" i="126"/>
  <c r="N451" i="126"/>
  <c r="AT450" i="126"/>
  <c r="N450" i="126"/>
  <c r="AT449" i="126"/>
  <c r="N449" i="126"/>
  <c r="AS448" i="126"/>
  <c r="AS503" i="126" s="1"/>
  <c r="AR448" i="126"/>
  <c r="AR503" i="126" s="1"/>
  <c r="AQ448" i="126"/>
  <c r="AQ503" i="126" s="1"/>
  <c r="AP448" i="126"/>
  <c r="AP503" i="126" s="1"/>
  <c r="AO448" i="126"/>
  <c r="AO503" i="126" s="1"/>
  <c r="AN448" i="126"/>
  <c r="AN503" i="126" s="1"/>
  <c r="AM448" i="126"/>
  <c r="AM503" i="126" s="1"/>
  <c r="AL448" i="126"/>
  <c r="AL503" i="126" s="1"/>
  <c r="AK448" i="126"/>
  <c r="AK503" i="126" s="1"/>
  <c r="AJ448" i="126"/>
  <c r="AJ503" i="126" s="1"/>
  <c r="AI448" i="126"/>
  <c r="AI503" i="126" s="1"/>
  <c r="AH448" i="126"/>
  <c r="AH503" i="126" s="1"/>
  <c r="AG448" i="126"/>
  <c r="AG503" i="126" s="1"/>
  <c r="AF448" i="126"/>
  <c r="AF503" i="126" s="1"/>
  <c r="AE448" i="126"/>
  <c r="AE503" i="126" s="1"/>
  <c r="AD448" i="126"/>
  <c r="AD503" i="126" s="1"/>
  <c r="AC448" i="126"/>
  <c r="AC503" i="126" s="1"/>
  <c r="AB448" i="126"/>
  <c r="AB503" i="126" s="1"/>
  <c r="AA448" i="126"/>
  <c r="AA503" i="126" s="1"/>
  <c r="Z448" i="126"/>
  <c r="Z503" i="126" s="1"/>
  <c r="Y448" i="126"/>
  <c r="Y503" i="126" s="1"/>
  <c r="X448" i="126"/>
  <c r="X503" i="126" s="1"/>
  <c r="W448" i="126"/>
  <c r="W503" i="126" s="1"/>
  <c r="V448" i="126"/>
  <c r="V503" i="126" s="1"/>
  <c r="U448" i="126"/>
  <c r="U503" i="126" s="1"/>
  <c r="T448" i="126"/>
  <c r="T503" i="126" s="1"/>
  <c r="S448" i="126"/>
  <c r="S503" i="126" s="1"/>
  <c r="R448" i="126"/>
  <c r="R503" i="126" s="1"/>
  <c r="Q448" i="126"/>
  <c r="Q503" i="126" s="1"/>
  <c r="P448" i="126"/>
  <c r="P503" i="126" s="1"/>
  <c r="O448" i="126"/>
  <c r="O503" i="126" s="1"/>
  <c r="N448" i="126"/>
  <c r="N503" i="126" s="1"/>
  <c r="M448" i="126"/>
  <c r="M503" i="126" s="1"/>
  <c r="L448" i="126"/>
  <c r="L503" i="126" s="1"/>
  <c r="K448" i="126"/>
  <c r="K503" i="126" s="1"/>
  <c r="J448" i="126"/>
  <c r="J503" i="126" s="1"/>
  <c r="I448" i="126"/>
  <c r="I503" i="126" s="1"/>
  <c r="H448" i="126"/>
  <c r="H503" i="126" s="1"/>
  <c r="G448" i="126"/>
  <c r="G503" i="126" s="1"/>
  <c r="AT447" i="126"/>
  <c r="N447" i="126"/>
  <c r="AT446" i="126"/>
  <c r="N446" i="126"/>
  <c r="AT445" i="126"/>
  <c r="N445" i="126"/>
  <c r="AT444" i="126"/>
  <c r="N444" i="126"/>
  <c r="AT443" i="126"/>
  <c r="N443" i="126"/>
  <c r="AT442" i="126"/>
  <c r="N442" i="126"/>
  <c r="AT441" i="126"/>
  <c r="N441" i="126"/>
  <c r="AT440" i="126"/>
  <c r="N440" i="126"/>
  <c r="AT439" i="126"/>
  <c r="N439" i="126"/>
  <c r="AT438" i="126"/>
  <c r="N438" i="126"/>
  <c r="AT437" i="126"/>
  <c r="N437" i="126"/>
  <c r="AT436" i="126"/>
  <c r="N436" i="126"/>
  <c r="AT435" i="126"/>
  <c r="N435" i="126"/>
  <c r="AT434" i="126"/>
  <c r="N434" i="126"/>
  <c r="AT433" i="126"/>
  <c r="N433" i="126"/>
  <c r="AT432" i="126"/>
  <c r="N432" i="126"/>
  <c r="AT431" i="126"/>
  <c r="N431" i="126"/>
  <c r="AT430" i="126"/>
  <c r="N430" i="126"/>
  <c r="AT429" i="126"/>
  <c r="N429" i="126"/>
  <c r="AT428" i="126"/>
  <c r="N428" i="126"/>
  <c r="AT427" i="126"/>
  <c r="N427" i="126"/>
  <c r="AT426" i="126"/>
  <c r="N426" i="126"/>
  <c r="AT425" i="126"/>
  <c r="N425" i="126"/>
  <c r="AT424" i="126"/>
  <c r="N424" i="126"/>
  <c r="AT423" i="126"/>
  <c r="N423" i="126"/>
  <c r="AT422" i="126"/>
  <c r="N422" i="126"/>
  <c r="AT421" i="126"/>
  <c r="N421" i="126"/>
  <c r="AT420" i="126"/>
  <c r="N420" i="126"/>
  <c r="AT419" i="126"/>
  <c r="N419" i="126"/>
  <c r="AT418" i="126"/>
  <c r="N418" i="126"/>
  <c r="AT417" i="126"/>
  <c r="N417" i="126"/>
  <c r="AT416" i="126"/>
  <c r="N416" i="126"/>
  <c r="AT415" i="126"/>
  <c r="N415" i="126"/>
  <c r="AP414" i="126"/>
  <c r="AH414" i="126"/>
  <c r="Z414" i="126"/>
  <c r="R414" i="126"/>
  <c r="J414" i="126"/>
  <c r="F414" i="126"/>
  <c r="AS413" i="126"/>
  <c r="AR413" i="126"/>
  <c r="AQ413" i="126"/>
  <c r="AP413" i="126"/>
  <c r="AO413" i="126"/>
  <c r="AN413" i="126"/>
  <c r="AM413" i="126"/>
  <c r="AL413" i="126"/>
  <c r="AK413" i="126"/>
  <c r="AJ413" i="126"/>
  <c r="AI413" i="126"/>
  <c r="AH413" i="126"/>
  <c r="AG413" i="126"/>
  <c r="AF413" i="126"/>
  <c r="AE413" i="126"/>
  <c r="AD413" i="126"/>
  <c r="AC413" i="126"/>
  <c r="AB413" i="126"/>
  <c r="AA413" i="126"/>
  <c r="Z413" i="126"/>
  <c r="Y413" i="126"/>
  <c r="X413" i="126"/>
  <c r="W413" i="126"/>
  <c r="V413" i="126"/>
  <c r="U413" i="126"/>
  <c r="T413" i="126"/>
  <c r="S413" i="126"/>
  <c r="R413" i="126"/>
  <c r="Q413" i="126"/>
  <c r="P413" i="126"/>
  <c r="O413" i="126"/>
  <c r="M413" i="126"/>
  <c r="L413" i="126"/>
  <c r="K413" i="126"/>
  <c r="J413" i="126"/>
  <c r="I413" i="126"/>
  <c r="H413" i="126"/>
  <c r="G413" i="126"/>
  <c r="N412" i="126"/>
  <c r="AT412" i="126" s="1"/>
  <c r="N411" i="126"/>
  <c r="AT411" i="126" s="1"/>
  <c r="N410" i="126"/>
  <c r="AT410" i="126" s="1"/>
  <c r="N409" i="126"/>
  <c r="AT409" i="126" s="1"/>
  <c r="N408" i="126"/>
  <c r="AT408" i="126" s="1"/>
  <c r="N407" i="126"/>
  <c r="AT407" i="126" s="1"/>
  <c r="N406" i="126"/>
  <c r="AT406" i="126" s="1"/>
  <c r="N405" i="126"/>
  <c r="AT405" i="126" s="1"/>
  <c r="N404" i="126"/>
  <c r="AT404" i="126" s="1"/>
  <c r="N403" i="126"/>
  <c r="AT403" i="126" s="1"/>
  <c r="N402" i="126"/>
  <c r="AT402" i="126" s="1"/>
  <c r="N401" i="126"/>
  <c r="AS400" i="126"/>
  <c r="AR400" i="126"/>
  <c r="AQ400" i="126"/>
  <c r="AP400" i="126"/>
  <c r="AO400" i="126"/>
  <c r="AN400" i="126"/>
  <c r="AM400" i="126"/>
  <c r="AL400" i="126"/>
  <c r="AK400" i="126"/>
  <c r="AJ400" i="126"/>
  <c r="AI400" i="126"/>
  <c r="AH400" i="126"/>
  <c r="AG400" i="126"/>
  <c r="AF400" i="126"/>
  <c r="AE400" i="126"/>
  <c r="AD400" i="126"/>
  <c r="AC400" i="126"/>
  <c r="AB400" i="126"/>
  <c r="AA400" i="126"/>
  <c r="Z400" i="126"/>
  <c r="Y400" i="126"/>
  <c r="X400" i="126"/>
  <c r="W400" i="126"/>
  <c r="V400" i="126"/>
  <c r="U400" i="126"/>
  <c r="T400" i="126"/>
  <c r="S400" i="126"/>
  <c r="R400" i="126"/>
  <c r="Q400" i="126"/>
  <c r="P400" i="126"/>
  <c r="O400" i="126"/>
  <c r="M400" i="126"/>
  <c r="L400" i="126"/>
  <c r="K400" i="126"/>
  <c r="J400" i="126"/>
  <c r="I400" i="126"/>
  <c r="H400" i="126"/>
  <c r="G400" i="126"/>
  <c r="N399" i="126"/>
  <c r="AS398" i="126"/>
  <c r="AR398" i="126"/>
  <c r="AQ398" i="126"/>
  <c r="AP398" i="126"/>
  <c r="AO398" i="126"/>
  <c r="AN398" i="126"/>
  <c r="AM398" i="126"/>
  <c r="AL398" i="126"/>
  <c r="AK398" i="126"/>
  <c r="AJ398" i="126"/>
  <c r="AI398" i="126"/>
  <c r="AH398" i="126"/>
  <c r="AG398" i="126"/>
  <c r="AF398" i="126"/>
  <c r="AE398" i="126"/>
  <c r="AD398" i="126"/>
  <c r="AC398" i="126"/>
  <c r="AB398" i="126"/>
  <c r="AA398" i="126"/>
  <c r="Z398" i="126"/>
  <c r="Y398" i="126"/>
  <c r="X398" i="126"/>
  <c r="W398" i="126"/>
  <c r="V398" i="126"/>
  <c r="U398" i="126"/>
  <c r="T398" i="126"/>
  <c r="S398" i="126"/>
  <c r="R398" i="126"/>
  <c r="Q398" i="126"/>
  <c r="P398" i="126"/>
  <c r="O398" i="126"/>
  <c r="M398" i="126"/>
  <c r="L398" i="126"/>
  <c r="K398" i="126"/>
  <c r="J398" i="126"/>
  <c r="I398" i="126"/>
  <c r="H398" i="126"/>
  <c r="G398" i="126"/>
  <c r="N397" i="126"/>
  <c r="AT397" i="126" s="1"/>
  <c r="N396" i="126"/>
  <c r="AT396" i="126" s="1"/>
  <c r="N395" i="126"/>
  <c r="AT395" i="126" s="1"/>
  <c r="N394" i="126"/>
  <c r="AT394" i="126" s="1"/>
  <c r="N393" i="126"/>
  <c r="AT393" i="126" s="1"/>
  <c r="N392" i="126"/>
  <c r="AT392" i="126" s="1"/>
  <c r="N391" i="126"/>
  <c r="AT391" i="126" s="1"/>
  <c r="N390" i="126"/>
  <c r="AT390" i="126" s="1"/>
  <c r="N389" i="126"/>
  <c r="AT389" i="126" s="1"/>
  <c r="N388" i="126"/>
  <c r="AT388" i="126" s="1"/>
  <c r="N387" i="126"/>
  <c r="AT387" i="126" s="1"/>
  <c r="N386" i="126"/>
  <c r="AS385" i="126"/>
  <c r="AR385" i="126"/>
  <c r="AQ385" i="126"/>
  <c r="AP385" i="126"/>
  <c r="AO385" i="126"/>
  <c r="AN385" i="126"/>
  <c r="AM385" i="126"/>
  <c r="AL385" i="126"/>
  <c r="AK385" i="126"/>
  <c r="AJ385" i="126"/>
  <c r="AI385" i="126"/>
  <c r="AH385" i="126"/>
  <c r="AG385" i="126"/>
  <c r="AF385" i="126"/>
  <c r="AE385" i="126"/>
  <c r="AD385" i="126"/>
  <c r="AC385" i="126"/>
  <c r="AB385" i="126"/>
  <c r="AA385" i="126"/>
  <c r="Z385" i="126"/>
  <c r="Y385" i="126"/>
  <c r="X385" i="126"/>
  <c r="W385" i="126"/>
  <c r="V385" i="126"/>
  <c r="U385" i="126"/>
  <c r="T385" i="126"/>
  <c r="S385" i="126"/>
  <c r="R385" i="126"/>
  <c r="Q385" i="126"/>
  <c r="P385" i="126"/>
  <c r="O385" i="126"/>
  <c r="M385" i="126"/>
  <c r="L385" i="126"/>
  <c r="K385" i="126"/>
  <c r="J385" i="126"/>
  <c r="I385" i="126"/>
  <c r="H385" i="126"/>
  <c r="G385" i="126"/>
  <c r="N384" i="126"/>
  <c r="AT384" i="126" s="1"/>
  <c r="N383" i="126"/>
  <c r="AS382" i="126"/>
  <c r="AR382" i="126"/>
  <c r="AQ382" i="126"/>
  <c r="AP382" i="126"/>
  <c r="AO382" i="126"/>
  <c r="AN382" i="126"/>
  <c r="AM382" i="126"/>
  <c r="AL382" i="126"/>
  <c r="AK382" i="126"/>
  <c r="AJ382" i="126"/>
  <c r="AI382" i="126"/>
  <c r="AH382" i="126"/>
  <c r="AG382" i="126"/>
  <c r="AF382" i="126"/>
  <c r="AE382" i="126"/>
  <c r="AD382" i="126"/>
  <c r="AC382" i="126"/>
  <c r="AB382" i="126"/>
  <c r="AA382" i="126"/>
  <c r="Z382" i="126"/>
  <c r="Y382" i="126"/>
  <c r="X382" i="126"/>
  <c r="W382" i="126"/>
  <c r="V382" i="126"/>
  <c r="U382" i="126"/>
  <c r="T382" i="126"/>
  <c r="S382" i="126"/>
  <c r="R382" i="126"/>
  <c r="Q382" i="126"/>
  <c r="P382" i="126"/>
  <c r="O382" i="126"/>
  <c r="M382" i="126"/>
  <c r="L382" i="126"/>
  <c r="K382" i="126"/>
  <c r="J382" i="126"/>
  <c r="I382" i="126"/>
  <c r="H382" i="126"/>
  <c r="G382" i="126"/>
  <c r="N381" i="126"/>
  <c r="AT381" i="126" s="1"/>
  <c r="N380" i="126"/>
  <c r="AT380" i="126" s="1"/>
  <c r="N379" i="126"/>
  <c r="AT379" i="126" s="1"/>
  <c r="N378" i="126"/>
  <c r="AT378" i="126" s="1"/>
  <c r="N377" i="126"/>
  <c r="AT377" i="126" s="1"/>
  <c r="N376" i="126"/>
  <c r="AT376" i="126" s="1"/>
  <c r="N375" i="126"/>
  <c r="AT375" i="126" s="1"/>
  <c r="N374" i="126"/>
  <c r="AT374" i="126" s="1"/>
  <c r="N373" i="126"/>
  <c r="AT373" i="126" s="1"/>
  <c r="N372" i="126"/>
  <c r="AT372" i="126" s="1"/>
  <c r="N371" i="126"/>
  <c r="AT371" i="126" s="1"/>
  <c r="N370" i="126"/>
  <c r="AS369" i="126"/>
  <c r="AR369" i="126"/>
  <c r="AQ369" i="126"/>
  <c r="AP369" i="126"/>
  <c r="AO369" i="126"/>
  <c r="AN369" i="126"/>
  <c r="AM369" i="126"/>
  <c r="AL369" i="126"/>
  <c r="AK369" i="126"/>
  <c r="AJ369" i="126"/>
  <c r="AI369" i="126"/>
  <c r="AH369" i="126"/>
  <c r="AG369" i="126"/>
  <c r="AF369" i="126"/>
  <c r="AE369" i="126"/>
  <c r="AD369" i="126"/>
  <c r="AC369" i="126"/>
  <c r="AB369" i="126"/>
  <c r="AA369" i="126"/>
  <c r="Z369" i="126"/>
  <c r="Y369" i="126"/>
  <c r="X369" i="126"/>
  <c r="W369" i="126"/>
  <c r="V369" i="126"/>
  <c r="U369" i="126"/>
  <c r="T369" i="126"/>
  <c r="S369" i="126"/>
  <c r="R369" i="126"/>
  <c r="Q369" i="126"/>
  <c r="P369" i="126"/>
  <c r="O369" i="126"/>
  <c r="M369" i="126"/>
  <c r="L369" i="126"/>
  <c r="K369" i="126"/>
  <c r="J369" i="126"/>
  <c r="I369" i="126"/>
  <c r="H369" i="126"/>
  <c r="G369" i="126"/>
  <c r="N368" i="126"/>
  <c r="AT368" i="126" s="1"/>
  <c r="N367" i="126"/>
  <c r="AT367" i="126" s="1"/>
  <c r="AT369" i="126" s="1"/>
  <c r="AS366" i="126"/>
  <c r="AS414" i="126" s="1"/>
  <c r="AR366" i="126"/>
  <c r="AR414" i="126" s="1"/>
  <c r="AQ366" i="126"/>
  <c r="AP366" i="126"/>
  <c r="AO366" i="126"/>
  <c r="AO414" i="126" s="1"/>
  <c r="AN366" i="126"/>
  <c r="AN414" i="126" s="1"/>
  <c r="AM366" i="126"/>
  <c r="AL366" i="126"/>
  <c r="AL414" i="126" s="1"/>
  <c r="AK366" i="126"/>
  <c r="AK414" i="126" s="1"/>
  <c r="AJ366" i="126"/>
  <c r="AJ414" i="126" s="1"/>
  <c r="AI366" i="126"/>
  <c r="AH366" i="126"/>
  <c r="AG366" i="126"/>
  <c r="AG414" i="126" s="1"/>
  <c r="AF366" i="126"/>
  <c r="AF414" i="126" s="1"/>
  <c r="AE366" i="126"/>
  <c r="AD366" i="126"/>
  <c r="AD414" i="126" s="1"/>
  <c r="AC366" i="126"/>
  <c r="AC414" i="126" s="1"/>
  <c r="AB366" i="126"/>
  <c r="AB414" i="126" s="1"/>
  <c r="AA366" i="126"/>
  <c r="Z366" i="126"/>
  <c r="Y366" i="126"/>
  <c r="Y414" i="126" s="1"/>
  <c r="X366" i="126"/>
  <c r="X414" i="126" s="1"/>
  <c r="W366" i="126"/>
  <c r="V366" i="126"/>
  <c r="V414" i="126" s="1"/>
  <c r="U366" i="126"/>
  <c r="U414" i="126" s="1"/>
  <c r="T366" i="126"/>
  <c r="T414" i="126" s="1"/>
  <c r="S366" i="126"/>
  <c r="R366" i="126"/>
  <c r="Q366" i="126"/>
  <c r="Q414" i="126" s="1"/>
  <c r="P366" i="126"/>
  <c r="P414" i="126" s="1"/>
  <c r="O366" i="126"/>
  <c r="M366" i="126"/>
  <c r="M414" i="126" s="1"/>
  <c r="L366" i="126"/>
  <c r="L414" i="126" s="1"/>
  <c r="K366" i="126"/>
  <c r="K414" i="126" s="1"/>
  <c r="J366" i="126"/>
  <c r="I366" i="126"/>
  <c r="I414" i="126" s="1"/>
  <c r="H366" i="126"/>
  <c r="H414" i="126" s="1"/>
  <c r="G366" i="126"/>
  <c r="G414" i="126" s="1"/>
  <c r="N365" i="126"/>
  <c r="AT365" i="126" s="1"/>
  <c r="N364" i="126"/>
  <c r="AT364" i="126" s="1"/>
  <c r="N363" i="126"/>
  <c r="AT363" i="126" s="1"/>
  <c r="N362" i="126"/>
  <c r="AT362" i="126" s="1"/>
  <c r="N361" i="126"/>
  <c r="AT361" i="126" s="1"/>
  <c r="N360" i="126"/>
  <c r="AT360" i="126" s="1"/>
  <c r="N359" i="126"/>
  <c r="AT359" i="126" s="1"/>
  <c r="N358" i="126"/>
  <c r="AT358" i="126" s="1"/>
  <c r="N357" i="126"/>
  <c r="AT357" i="126" s="1"/>
  <c r="N356" i="126"/>
  <c r="AT356" i="126" s="1"/>
  <c r="N355" i="126"/>
  <c r="AT355" i="126" s="1"/>
  <c r="N354" i="126"/>
  <c r="AT354" i="126" s="1"/>
  <c r="N353" i="126"/>
  <c r="F352" i="126"/>
  <c r="AS351" i="126"/>
  <c r="AR351" i="126"/>
  <c r="AQ351" i="126"/>
  <c r="AP351" i="126"/>
  <c r="AO351" i="126"/>
  <c r="AN351" i="126"/>
  <c r="AM351" i="126"/>
  <c r="AL351" i="126"/>
  <c r="AK351" i="126"/>
  <c r="AJ351" i="126"/>
  <c r="AI351" i="126"/>
  <c r="AH351" i="126"/>
  <c r="AG351" i="126"/>
  <c r="AF351" i="126"/>
  <c r="AE351" i="126"/>
  <c r="AD351" i="126"/>
  <c r="AC351" i="126"/>
  <c r="AB351" i="126"/>
  <c r="AA351" i="126"/>
  <c r="Z351" i="126"/>
  <c r="Y351" i="126"/>
  <c r="X351" i="126"/>
  <c r="W351" i="126"/>
  <c r="V351" i="126"/>
  <c r="U351" i="126"/>
  <c r="T351" i="126"/>
  <c r="S351" i="126"/>
  <c r="R351" i="126"/>
  <c r="Q351" i="126"/>
  <c r="P351" i="126"/>
  <c r="O351" i="126"/>
  <c r="N351" i="126"/>
  <c r="M351" i="126"/>
  <c r="L351" i="126"/>
  <c r="K351" i="126"/>
  <c r="J351" i="126"/>
  <c r="I351" i="126"/>
  <c r="H351" i="126"/>
  <c r="G351" i="126"/>
  <c r="AT350" i="126"/>
  <c r="N350" i="126"/>
  <c r="AT349" i="126"/>
  <c r="N349" i="126"/>
  <c r="AT348" i="126"/>
  <c r="N348" i="126"/>
  <c r="AT347" i="126"/>
  <c r="N347" i="126"/>
  <c r="AT346" i="126"/>
  <c r="N346" i="126"/>
  <c r="AT345" i="126"/>
  <c r="N345" i="126"/>
  <c r="AT344" i="126"/>
  <c r="N344" i="126"/>
  <c r="AT343" i="126"/>
  <c r="AT351" i="126" s="1"/>
  <c r="N343" i="126"/>
  <c r="AS342" i="126"/>
  <c r="AR342" i="126"/>
  <c r="AQ342" i="126"/>
  <c r="AP342" i="126"/>
  <c r="AO342" i="126"/>
  <c r="AN342" i="126"/>
  <c r="AM342" i="126"/>
  <c r="AL342" i="126"/>
  <c r="AK342" i="126"/>
  <c r="AJ342" i="126"/>
  <c r="AI342" i="126"/>
  <c r="AH342" i="126"/>
  <c r="AG342" i="126"/>
  <c r="AF342" i="126"/>
  <c r="AE342" i="126"/>
  <c r="AD342" i="126"/>
  <c r="AC342" i="126"/>
  <c r="AB342" i="126"/>
  <c r="AA342" i="126"/>
  <c r="Z342" i="126"/>
  <c r="Y342" i="126"/>
  <c r="X342" i="126"/>
  <c r="W342" i="126"/>
  <c r="V342" i="126"/>
  <c r="U342" i="126"/>
  <c r="T342" i="126"/>
  <c r="S342" i="126"/>
  <c r="R342" i="126"/>
  <c r="Q342" i="126"/>
  <c r="P342" i="126"/>
  <c r="O342" i="126"/>
  <c r="N342" i="126"/>
  <c r="M342" i="126"/>
  <c r="L342" i="126"/>
  <c r="K342" i="126"/>
  <c r="J342" i="126"/>
  <c r="I342" i="126"/>
  <c r="H342" i="126"/>
  <c r="G342" i="126"/>
  <c r="AT341" i="126"/>
  <c r="N341" i="126"/>
  <c r="AT340" i="126"/>
  <c r="N340" i="126"/>
  <c r="AT339" i="126"/>
  <c r="N339" i="126"/>
  <c r="AT338" i="126"/>
  <c r="N338" i="126"/>
  <c r="AT337" i="126"/>
  <c r="AT342" i="126" s="1"/>
  <c r="N337" i="126"/>
  <c r="AS336" i="126"/>
  <c r="AR336" i="126"/>
  <c r="AQ336" i="126"/>
  <c r="AP336" i="126"/>
  <c r="AO336" i="126"/>
  <c r="AN336" i="126"/>
  <c r="AM336" i="126"/>
  <c r="AL336" i="126"/>
  <c r="AK336" i="126"/>
  <c r="AJ336" i="126"/>
  <c r="AI336" i="126"/>
  <c r="AH336" i="126"/>
  <c r="AG336" i="126"/>
  <c r="AF336" i="126"/>
  <c r="AE336" i="126"/>
  <c r="AD336" i="126"/>
  <c r="AC336" i="126"/>
  <c r="AB336" i="126"/>
  <c r="AA336" i="126"/>
  <c r="Z336" i="126"/>
  <c r="Y336" i="126"/>
  <c r="X336" i="126"/>
  <c r="W336" i="126"/>
  <c r="V336" i="126"/>
  <c r="U336" i="126"/>
  <c r="T336" i="126"/>
  <c r="S336" i="126"/>
  <c r="R336" i="126"/>
  <c r="Q336" i="126"/>
  <c r="P336" i="126"/>
  <c r="O336" i="126"/>
  <c r="N336" i="126"/>
  <c r="M336" i="126"/>
  <c r="L336" i="126"/>
  <c r="K336" i="126"/>
  <c r="J336" i="126"/>
  <c r="I336" i="126"/>
  <c r="H336" i="126"/>
  <c r="G336" i="126"/>
  <c r="AT335" i="126"/>
  <c r="AT336" i="126" s="1"/>
  <c r="N335" i="126"/>
  <c r="AS334" i="126"/>
  <c r="AR334" i="126"/>
  <c r="AQ334" i="126"/>
  <c r="AP334" i="126"/>
  <c r="AO334" i="126"/>
  <c r="AN334" i="126"/>
  <c r="AM334" i="126"/>
  <c r="AL334" i="126"/>
  <c r="AK334" i="126"/>
  <c r="AJ334" i="126"/>
  <c r="AI334" i="126"/>
  <c r="AH334" i="126"/>
  <c r="AG334" i="126"/>
  <c r="AF334" i="126"/>
  <c r="AE334" i="126"/>
  <c r="AD334" i="126"/>
  <c r="AC334" i="126"/>
  <c r="AB334" i="126"/>
  <c r="AA334" i="126"/>
  <c r="Z334" i="126"/>
  <c r="Y334" i="126"/>
  <c r="X334" i="126"/>
  <c r="W334" i="126"/>
  <c r="V334" i="126"/>
  <c r="U334" i="126"/>
  <c r="T334" i="126"/>
  <c r="S334" i="126"/>
  <c r="R334" i="126"/>
  <c r="Q334" i="126"/>
  <c r="P334" i="126"/>
  <c r="O334" i="126"/>
  <c r="N334" i="126"/>
  <c r="M334" i="126"/>
  <c r="L334" i="126"/>
  <c r="K334" i="126"/>
  <c r="J334" i="126"/>
  <c r="I334" i="126"/>
  <c r="H334" i="126"/>
  <c r="G334" i="126"/>
  <c r="AT333" i="126"/>
  <c r="N333" i="126"/>
  <c r="AT332" i="126"/>
  <c r="N332" i="126"/>
  <c r="AT331" i="126"/>
  <c r="N331" i="126"/>
  <c r="AT330" i="126"/>
  <c r="AT334" i="126" s="1"/>
  <c r="N330" i="126"/>
  <c r="AS329" i="126"/>
  <c r="AR329" i="126"/>
  <c r="AQ329" i="126"/>
  <c r="AP329" i="126"/>
  <c r="AO329" i="126"/>
  <c r="AN329" i="126"/>
  <c r="AM329" i="126"/>
  <c r="AL329" i="126"/>
  <c r="AK329" i="126"/>
  <c r="AJ329" i="126"/>
  <c r="AI329" i="126"/>
  <c r="AH329" i="126"/>
  <c r="AG329" i="126"/>
  <c r="AF329" i="126"/>
  <c r="AE329" i="126"/>
  <c r="AD329" i="126"/>
  <c r="AC329" i="126"/>
  <c r="AB329" i="126"/>
  <c r="AA329" i="126"/>
  <c r="Z329" i="126"/>
  <c r="Y329" i="126"/>
  <c r="X329" i="126"/>
  <c r="W329" i="126"/>
  <c r="V329" i="126"/>
  <c r="U329" i="126"/>
  <c r="T329" i="126"/>
  <c r="S329" i="126"/>
  <c r="R329" i="126"/>
  <c r="Q329" i="126"/>
  <c r="P329" i="126"/>
  <c r="O329" i="126"/>
  <c r="N329" i="126"/>
  <c r="M329" i="126"/>
  <c r="L329" i="126"/>
  <c r="K329" i="126"/>
  <c r="J329" i="126"/>
  <c r="I329" i="126"/>
  <c r="H329" i="126"/>
  <c r="G329" i="126"/>
  <c r="AT328" i="126"/>
  <c r="N328" i="126"/>
  <c r="AT327" i="126"/>
  <c r="N327" i="126"/>
  <c r="AT326" i="126"/>
  <c r="N326" i="126"/>
  <c r="AT325" i="126"/>
  <c r="N325" i="126"/>
  <c r="AT324" i="126"/>
  <c r="N324" i="126"/>
  <c r="AT323" i="126"/>
  <c r="N323" i="126"/>
  <c r="AT322" i="126"/>
  <c r="N322" i="126"/>
  <c r="AT321" i="126"/>
  <c r="N321" i="126"/>
  <c r="AT320" i="126"/>
  <c r="N320" i="126"/>
  <c r="AT319" i="126"/>
  <c r="AT329" i="126" s="1"/>
  <c r="N319" i="126"/>
  <c r="AS318" i="126"/>
  <c r="AR318" i="126"/>
  <c r="AQ318" i="126"/>
  <c r="AP318" i="126"/>
  <c r="AO318" i="126"/>
  <c r="AN318" i="126"/>
  <c r="AM318" i="126"/>
  <c r="AL318" i="126"/>
  <c r="AK318" i="126"/>
  <c r="AJ318" i="126"/>
  <c r="AI318" i="126"/>
  <c r="AH318" i="126"/>
  <c r="AG318" i="126"/>
  <c r="AF318" i="126"/>
  <c r="AE318" i="126"/>
  <c r="AD318" i="126"/>
  <c r="AC318" i="126"/>
  <c r="AB318" i="126"/>
  <c r="AA318" i="126"/>
  <c r="Z318" i="126"/>
  <c r="Y318" i="126"/>
  <c r="X318" i="126"/>
  <c r="W318" i="126"/>
  <c r="V318" i="126"/>
  <c r="U318" i="126"/>
  <c r="T318" i="126"/>
  <c r="S318" i="126"/>
  <c r="R318" i="126"/>
  <c r="Q318" i="126"/>
  <c r="P318" i="126"/>
  <c r="O318" i="126"/>
  <c r="N318" i="126"/>
  <c r="M318" i="126"/>
  <c r="L318" i="126"/>
  <c r="K318" i="126"/>
  <c r="J318" i="126"/>
  <c r="I318" i="126"/>
  <c r="H318" i="126"/>
  <c r="G318" i="126"/>
  <c r="AT317" i="126"/>
  <c r="N317" i="126"/>
  <c r="AT316" i="126"/>
  <c r="N316" i="126"/>
  <c r="AT315" i="126"/>
  <c r="AT318" i="126" s="1"/>
  <c r="N315" i="126"/>
  <c r="AS314" i="126"/>
  <c r="AR314" i="126"/>
  <c r="AQ314" i="126"/>
  <c r="AP314" i="126"/>
  <c r="AO314" i="126"/>
  <c r="AN314" i="126"/>
  <c r="AM314" i="126"/>
  <c r="AL314" i="126"/>
  <c r="AK314" i="126"/>
  <c r="AJ314" i="126"/>
  <c r="AI314" i="126"/>
  <c r="AH314" i="126"/>
  <c r="AG314" i="126"/>
  <c r="AF314" i="126"/>
  <c r="AE314" i="126"/>
  <c r="AD314" i="126"/>
  <c r="AC314" i="126"/>
  <c r="AB314" i="126"/>
  <c r="AA314" i="126"/>
  <c r="Z314" i="126"/>
  <c r="Y314" i="126"/>
  <c r="X314" i="126"/>
  <c r="W314" i="126"/>
  <c r="V314" i="126"/>
  <c r="U314" i="126"/>
  <c r="T314" i="126"/>
  <c r="S314" i="126"/>
  <c r="R314" i="126"/>
  <c r="Q314" i="126"/>
  <c r="P314" i="126"/>
  <c r="O314" i="126"/>
  <c r="N314" i="126"/>
  <c r="M314" i="126"/>
  <c r="L314" i="126"/>
  <c r="K314" i="126"/>
  <c r="J314" i="126"/>
  <c r="I314" i="126"/>
  <c r="H314" i="126"/>
  <c r="G314" i="126"/>
  <c r="AT313" i="126"/>
  <c r="AT314" i="126" s="1"/>
  <c r="N313" i="126"/>
  <c r="AS312" i="126"/>
  <c r="AR312" i="126"/>
  <c r="AQ312" i="126"/>
  <c r="AP312" i="126"/>
  <c r="AO312" i="126"/>
  <c r="AN312" i="126"/>
  <c r="AM312" i="126"/>
  <c r="AL312" i="126"/>
  <c r="AK312" i="126"/>
  <c r="AJ312" i="126"/>
  <c r="AI312" i="126"/>
  <c r="AH312" i="126"/>
  <c r="AG312" i="126"/>
  <c r="AF312" i="126"/>
  <c r="AE312" i="126"/>
  <c r="AD312" i="126"/>
  <c r="AC312" i="126"/>
  <c r="AB312" i="126"/>
  <c r="AA312" i="126"/>
  <c r="Z312" i="126"/>
  <c r="Y312" i="126"/>
  <c r="X312" i="126"/>
  <c r="W312" i="126"/>
  <c r="V312" i="126"/>
  <c r="U312" i="126"/>
  <c r="T312" i="126"/>
  <c r="S312" i="126"/>
  <c r="R312" i="126"/>
  <c r="Q312" i="126"/>
  <c r="P312" i="126"/>
  <c r="O312" i="126"/>
  <c r="N312" i="126"/>
  <c r="M312" i="126"/>
  <c r="L312" i="126"/>
  <c r="K312" i="126"/>
  <c r="J312" i="126"/>
  <c r="I312" i="126"/>
  <c r="H312" i="126"/>
  <c r="G312" i="126"/>
  <c r="AT311" i="126"/>
  <c r="N311" i="126"/>
  <c r="AT310" i="126"/>
  <c r="N310" i="126"/>
  <c r="AT309" i="126"/>
  <c r="AT312" i="126" s="1"/>
  <c r="N309" i="126"/>
  <c r="AS308" i="126"/>
  <c r="AR308" i="126"/>
  <c r="AQ308" i="126"/>
  <c r="AP308" i="126"/>
  <c r="AO308" i="126"/>
  <c r="AN308" i="126"/>
  <c r="AM308" i="126"/>
  <c r="AL308" i="126"/>
  <c r="AK308" i="126"/>
  <c r="AJ308" i="126"/>
  <c r="AI308" i="126"/>
  <c r="AH308" i="126"/>
  <c r="AG308" i="126"/>
  <c r="AF308" i="126"/>
  <c r="AE308" i="126"/>
  <c r="AD308" i="126"/>
  <c r="AC308" i="126"/>
  <c r="AB308" i="126"/>
  <c r="AA308" i="126"/>
  <c r="Z308" i="126"/>
  <c r="Y308" i="126"/>
  <c r="X308" i="126"/>
  <c r="W308" i="126"/>
  <c r="V308" i="126"/>
  <c r="U308" i="126"/>
  <c r="T308" i="126"/>
  <c r="S308" i="126"/>
  <c r="R308" i="126"/>
  <c r="Q308" i="126"/>
  <c r="P308" i="126"/>
  <c r="O308" i="126"/>
  <c r="N308" i="126"/>
  <c r="M308" i="126"/>
  <c r="L308" i="126"/>
  <c r="K308" i="126"/>
  <c r="J308" i="126"/>
  <c r="I308" i="126"/>
  <c r="H308" i="126"/>
  <c r="G308" i="126"/>
  <c r="AT307" i="126"/>
  <c r="N307" i="126"/>
  <c r="AT306" i="126"/>
  <c r="N306" i="126"/>
  <c r="AT305" i="126"/>
  <c r="N305" i="126"/>
  <c r="AT304" i="126"/>
  <c r="AT308" i="126" s="1"/>
  <c r="N304" i="126"/>
  <c r="AS303" i="126"/>
  <c r="AR303" i="126"/>
  <c r="AQ303" i="126"/>
  <c r="AP303" i="126"/>
  <c r="AO303" i="126"/>
  <c r="AN303" i="126"/>
  <c r="AM303" i="126"/>
  <c r="AL303" i="126"/>
  <c r="AK303" i="126"/>
  <c r="AJ303" i="126"/>
  <c r="AI303" i="126"/>
  <c r="AH303" i="126"/>
  <c r="AG303" i="126"/>
  <c r="AF303" i="126"/>
  <c r="AE303" i="126"/>
  <c r="AD303" i="126"/>
  <c r="AC303" i="126"/>
  <c r="AB303" i="126"/>
  <c r="AA303" i="126"/>
  <c r="Z303" i="126"/>
  <c r="Y303" i="126"/>
  <c r="X303" i="126"/>
  <c r="W303" i="126"/>
  <c r="V303" i="126"/>
  <c r="U303" i="126"/>
  <c r="T303" i="126"/>
  <c r="S303" i="126"/>
  <c r="R303" i="126"/>
  <c r="Q303" i="126"/>
  <c r="P303" i="126"/>
  <c r="O303" i="126"/>
  <c r="N303" i="126"/>
  <c r="M303" i="126"/>
  <c r="L303" i="126"/>
  <c r="K303" i="126"/>
  <c r="J303" i="126"/>
  <c r="I303" i="126"/>
  <c r="H303" i="126"/>
  <c r="G303" i="126"/>
  <c r="AT302" i="126"/>
  <c r="N302" i="126"/>
  <c r="AT301" i="126"/>
  <c r="N301" i="126"/>
  <c r="AT300" i="126"/>
  <c r="N300" i="126"/>
  <c r="AT299" i="126"/>
  <c r="N299" i="126"/>
  <c r="AT298" i="126"/>
  <c r="AT303" i="126" s="1"/>
  <c r="N298" i="126"/>
  <c r="AS297" i="126"/>
  <c r="AR297" i="126"/>
  <c r="AQ297" i="126"/>
  <c r="AP297" i="126"/>
  <c r="AO297" i="126"/>
  <c r="AN297" i="126"/>
  <c r="AM297" i="126"/>
  <c r="AL297" i="126"/>
  <c r="AK297" i="126"/>
  <c r="AJ297" i="126"/>
  <c r="AI297" i="126"/>
  <c r="AH297" i="126"/>
  <c r="AG297" i="126"/>
  <c r="AF297" i="126"/>
  <c r="AE297" i="126"/>
  <c r="AD297" i="126"/>
  <c r="AC297" i="126"/>
  <c r="AB297" i="126"/>
  <c r="AA297" i="126"/>
  <c r="Z297" i="126"/>
  <c r="Y297" i="126"/>
  <c r="X297" i="126"/>
  <c r="W297" i="126"/>
  <c r="V297" i="126"/>
  <c r="U297" i="126"/>
  <c r="T297" i="126"/>
  <c r="S297" i="126"/>
  <c r="R297" i="126"/>
  <c r="Q297" i="126"/>
  <c r="P297" i="126"/>
  <c r="O297" i="126"/>
  <c r="N297" i="126"/>
  <c r="M297" i="126"/>
  <c r="L297" i="126"/>
  <c r="K297" i="126"/>
  <c r="J297" i="126"/>
  <c r="I297" i="126"/>
  <c r="H297" i="126"/>
  <c r="G297" i="126"/>
  <c r="AT296" i="126"/>
  <c r="N296" i="126"/>
  <c r="AT295" i="126"/>
  <c r="N295" i="126"/>
  <c r="AT294" i="126"/>
  <c r="N294" i="126"/>
  <c r="AT293" i="126"/>
  <c r="N293" i="126"/>
  <c r="AT292" i="126"/>
  <c r="N292" i="126"/>
  <c r="AT291" i="126"/>
  <c r="N291" i="126"/>
  <c r="AT290" i="126"/>
  <c r="N290" i="126"/>
  <c r="AT289" i="126"/>
  <c r="N289" i="126"/>
  <c r="AT288" i="126"/>
  <c r="N288" i="126"/>
  <c r="AT287" i="126"/>
  <c r="N287" i="126"/>
  <c r="AT286" i="126"/>
  <c r="AT297" i="126" s="1"/>
  <c r="N286" i="126"/>
  <c r="AS285" i="126"/>
  <c r="AS352" i="126" s="1"/>
  <c r="AR285" i="126"/>
  <c r="AR352" i="126" s="1"/>
  <c r="AQ285" i="126"/>
  <c r="AQ352" i="126" s="1"/>
  <c r="AP285" i="126"/>
  <c r="AP352" i="126" s="1"/>
  <c r="AO285" i="126"/>
  <c r="AO352" i="126" s="1"/>
  <c r="AN285" i="126"/>
  <c r="AN352" i="126" s="1"/>
  <c r="AM285" i="126"/>
  <c r="AM352" i="126" s="1"/>
  <c r="AL285" i="126"/>
  <c r="AL352" i="126" s="1"/>
  <c r="AK285" i="126"/>
  <c r="AK352" i="126" s="1"/>
  <c r="AJ285" i="126"/>
  <c r="AJ352" i="126" s="1"/>
  <c r="AI285" i="126"/>
  <c r="AI352" i="126" s="1"/>
  <c r="AH285" i="126"/>
  <c r="AH352" i="126" s="1"/>
  <c r="AG285" i="126"/>
  <c r="AG352" i="126" s="1"/>
  <c r="AF285" i="126"/>
  <c r="AF352" i="126" s="1"/>
  <c r="AE285" i="126"/>
  <c r="AE352" i="126" s="1"/>
  <c r="AD285" i="126"/>
  <c r="AD352" i="126" s="1"/>
  <c r="AC285" i="126"/>
  <c r="AC352" i="126" s="1"/>
  <c r="AB285" i="126"/>
  <c r="AB352" i="126" s="1"/>
  <c r="AA285" i="126"/>
  <c r="AA352" i="126" s="1"/>
  <c r="Z285" i="126"/>
  <c r="Z352" i="126" s="1"/>
  <c r="Y285" i="126"/>
  <c r="Y352" i="126" s="1"/>
  <c r="X285" i="126"/>
  <c r="X352" i="126" s="1"/>
  <c r="W285" i="126"/>
  <c r="W352" i="126" s="1"/>
  <c r="V285" i="126"/>
  <c r="V352" i="126" s="1"/>
  <c r="U285" i="126"/>
  <c r="U352" i="126" s="1"/>
  <c r="T285" i="126"/>
  <c r="T352" i="126" s="1"/>
  <c r="S285" i="126"/>
  <c r="S352" i="126" s="1"/>
  <c r="R285" i="126"/>
  <c r="R352" i="126" s="1"/>
  <c r="Q285" i="126"/>
  <c r="Q352" i="126" s="1"/>
  <c r="P285" i="126"/>
  <c r="P352" i="126" s="1"/>
  <c r="O285" i="126"/>
  <c r="O352" i="126" s="1"/>
  <c r="N285" i="126"/>
  <c r="M285" i="126"/>
  <c r="M352" i="126" s="1"/>
  <c r="L285" i="126"/>
  <c r="L352" i="126" s="1"/>
  <c r="K285" i="126"/>
  <c r="K352" i="126" s="1"/>
  <c r="J285" i="126"/>
  <c r="J352" i="126" s="1"/>
  <c r="I285" i="126"/>
  <c r="I352" i="126" s="1"/>
  <c r="H285" i="126"/>
  <c r="H352" i="126" s="1"/>
  <c r="G285" i="126"/>
  <c r="G352" i="126" s="1"/>
  <c r="AT284" i="126"/>
  <c r="N284" i="126"/>
  <c r="AT283" i="126"/>
  <c r="N283" i="126"/>
  <c r="AT282" i="126"/>
  <c r="N282" i="126"/>
  <c r="AT281" i="126"/>
  <c r="N281" i="126"/>
  <c r="AT280" i="126"/>
  <c r="N280" i="126"/>
  <c r="AT279" i="126"/>
  <c r="N279" i="126"/>
  <c r="AT278" i="126"/>
  <c r="N278" i="126"/>
  <c r="AT277" i="126"/>
  <c r="N277" i="126"/>
  <c r="AT276" i="126"/>
  <c r="N276" i="126"/>
  <c r="AT275" i="126"/>
  <c r="N275" i="126"/>
  <c r="AT274" i="126"/>
  <c r="N274" i="126"/>
  <c r="AT273" i="126"/>
  <c r="N273" i="126"/>
  <c r="N352" i="126" s="1"/>
  <c r="AR272" i="126"/>
  <c r="AN272" i="126"/>
  <c r="AJ272" i="126"/>
  <c r="AF272" i="126"/>
  <c r="AB272" i="126"/>
  <c r="X272" i="126"/>
  <c r="T272" i="126"/>
  <c r="P272" i="126"/>
  <c r="L272" i="126"/>
  <c r="H272" i="126"/>
  <c r="F272" i="126"/>
  <c r="AS271" i="126"/>
  <c r="AR271" i="126"/>
  <c r="AQ271" i="126"/>
  <c r="AP271" i="126"/>
  <c r="AO271" i="126"/>
  <c r="AN271" i="126"/>
  <c r="AM271" i="126"/>
  <c r="AL271" i="126"/>
  <c r="AK271" i="126"/>
  <c r="AJ271" i="126"/>
  <c r="AI271" i="126"/>
  <c r="AH271" i="126"/>
  <c r="AG271" i="126"/>
  <c r="AF271" i="126"/>
  <c r="AE271" i="126"/>
  <c r="AD271" i="126"/>
  <c r="AC271" i="126"/>
  <c r="AB271" i="126"/>
  <c r="AA271" i="126"/>
  <c r="Z271" i="126"/>
  <c r="Y271" i="126"/>
  <c r="X271" i="126"/>
  <c r="W271" i="126"/>
  <c r="V271" i="126"/>
  <c r="U271" i="126"/>
  <c r="T271" i="126"/>
  <c r="S271" i="126"/>
  <c r="R271" i="126"/>
  <c r="Q271" i="126"/>
  <c r="P271" i="126"/>
  <c r="O271" i="126"/>
  <c r="M271" i="126"/>
  <c r="L271" i="126"/>
  <c r="K271" i="126"/>
  <c r="J271" i="126"/>
  <c r="I271" i="126"/>
  <c r="H271" i="126"/>
  <c r="G271" i="126"/>
  <c r="N270" i="126"/>
  <c r="AT270" i="126" s="1"/>
  <c r="N269" i="126"/>
  <c r="AT269" i="126" s="1"/>
  <c r="N268" i="126"/>
  <c r="AT268" i="126" s="1"/>
  <c r="N267" i="126"/>
  <c r="AT267" i="126" s="1"/>
  <c r="N266" i="126"/>
  <c r="AT266" i="126" s="1"/>
  <c r="N265" i="126"/>
  <c r="AT265" i="126" s="1"/>
  <c r="N264" i="126"/>
  <c r="AT264" i="126" s="1"/>
  <c r="N263" i="126"/>
  <c r="AT263" i="126" s="1"/>
  <c r="N262" i="126"/>
  <c r="AT262" i="126" s="1"/>
  <c r="N261" i="126"/>
  <c r="AT261" i="126" s="1"/>
  <c r="N260" i="126"/>
  <c r="AS259" i="126"/>
  <c r="AR259" i="126"/>
  <c r="AQ259" i="126"/>
  <c r="AP259" i="126"/>
  <c r="AO259" i="126"/>
  <c r="AN259" i="126"/>
  <c r="AM259" i="126"/>
  <c r="AL259" i="126"/>
  <c r="AK259" i="126"/>
  <c r="AJ259" i="126"/>
  <c r="AI259" i="126"/>
  <c r="AH259" i="126"/>
  <c r="AG259" i="126"/>
  <c r="AF259" i="126"/>
  <c r="AE259" i="126"/>
  <c r="AD259" i="126"/>
  <c r="AC259" i="126"/>
  <c r="AB259" i="126"/>
  <c r="AA259" i="126"/>
  <c r="Z259" i="126"/>
  <c r="Y259" i="126"/>
  <c r="X259" i="126"/>
  <c r="W259" i="126"/>
  <c r="V259" i="126"/>
  <c r="U259" i="126"/>
  <c r="T259" i="126"/>
  <c r="S259" i="126"/>
  <c r="R259" i="126"/>
  <c r="Q259" i="126"/>
  <c r="P259" i="126"/>
  <c r="O259" i="126"/>
  <c r="M259" i="126"/>
  <c r="L259" i="126"/>
  <c r="K259" i="126"/>
  <c r="J259" i="126"/>
  <c r="I259" i="126"/>
  <c r="H259" i="126"/>
  <c r="G259" i="126"/>
  <c r="N258" i="126"/>
  <c r="AT258" i="126" s="1"/>
  <c r="N257" i="126"/>
  <c r="AT257" i="126" s="1"/>
  <c r="N256" i="126"/>
  <c r="AT256" i="126" s="1"/>
  <c r="N255" i="126"/>
  <c r="AT255" i="126" s="1"/>
  <c r="N254" i="126"/>
  <c r="AT254" i="126" s="1"/>
  <c r="N253" i="126"/>
  <c r="AT253" i="126" s="1"/>
  <c r="N252" i="126"/>
  <c r="AT252" i="126" s="1"/>
  <c r="N251" i="126"/>
  <c r="AT251" i="126" s="1"/>
  <c r="N250" i="126"/>
  <c r="AT250" i="126" s="1"/>
  <c r="N249" i="126"/>
  <c r="AT249" i="126" s="1"/>
  <c r="N248" i="126"/>
  <c r="AS247" i="126"/>
  <c r="AR247" i="126"/>
  <c r="AQ247" i="126"/>
  <c r="AP247" i="126"/>
  <c r="AO247" i="126"/>
  <c r="AN247" i="126"/>
  <c r="AM247" i="126"/>
  <c r="AL247" i="126"/>
  <c r="AK247" i="126"/>
  <c r="AJ247" i="126"/>
  <c r="AI247" i="126"/>
  <c r="AH247" i="126"/>
  <c r="AG247" i="126"/>
  <c r="AF247" i="126"/>
  <c r="AE247" i="126"/>
  <c r="AD247" i="126"/>
  <c r="AC247" i="126"/>
  <c r="AB247" i="126"/>
  <c r="AA247" i="126"/>
  <c r="Z247" i="126"/>
  <c r="Y247" i="126"/>
  <c r="X247" i="126"/>
  <c r="W247" i="126"/>
  <c r="V247" i="126"/>
  <c r="U247" i="126"/>
  <c r="T247" i="126"/>
  <c r="S247" i="126"/>
  <c r="R247" i="126"/>
  <c r="Q247" i="126"/>
  <c r="P247" i="126"/>
  <c r="O247" i="126"/>
  <c r="M247" i="126"/>
  <c r="L247" i="126"/>
  <c r="K247" i="126"/>
  <c r="J247" i="126"/>
  <c r="I247" i="126"/>
  <c r="H247" i="126"/>
  <c r="G247" i="126"/>
  <c r="N246" i="126"/>
  <c r="AS245" i="126"/>
  <c r="AR245" i="126"/>
  <c r="AQ245" i="126"/>
  <c r="AP245" i="126"/>
  <c r="AO245" i="126"/>
  <c r="AN245" i="126"/>
  <c r="AM245" i="126"/>
  <c r="AL245" i="126"/>
  <c r="AK245" i="126"/>
  <c r="AJ245" i="126"/>
  <c r="AI245" i="126"/>
  <c r="AH245" i="126"/>
  <c r="AG245" i="126"/>
  <c r="AF245" i="126"/>
  <c r="AE245" i="126"/>
  <c r="AD245" i="126"/>
  <c r="AC245" i="126"/>
  <c r="AB245" i="126"/>
  <c r="AA245" i="126"/>
  <c r="Z245" i="126"/>
  <c r="Y245" i="126"/>
  <c r="X245" i="126"/>
  <c r="W245" i="126"/>
  <c r="V245" i="126"/>
  <c r="U245" i="126"/>
  <c r="T245" i="126"/>
  <c r="S245" i="126"/>
  <c r="R245" i="126"/>
  <c r="Q245" i="126"/>
  <c r="P245" i="126"/>
  <c r="O245" i="126"/>
  <c r="M245" i="126"/>
  <c r="L245" i="126"/>
  <c r="K245" i="126"/>
  <c r="J245" i="126"/>
  <c r="I245" i="126"/>
  <c r="H245" i="126"/>
  <c r="G245" i="126"/>
  <c r="N244" i="126"/>
  <c r="AT244" i="126" s="1"/>
  <c r="N243" i="126"/>
  <c r="AT243" i="126" s="1"/>
  <c r="N242" i="126"/>
  <c r="AT242" i="126" s="1"/>
  <c r="N241" i="126"/>
  <c r="AT241" i="126" s="1"/>
  <c r="N240" i="126"/>
  <c r="AT240" i="126" s="1"/>
  <c r="N239" i="126"/>
  <c r="AT239" i="126" s="1"/>
  <c r="N238" i="126"/>
  <c r="AT238" i="126" s="1"/>
  <c r="N237" i="126"/>
  <c r="AT237" i="126" s="1"/>
  <c r="N236" i="126"/>
  <c r="AT236" i="126" s="1"/>
  <c r="N235" i="126"/>
  <c r="AT235" i="126" s="1"/>
  <c r="N234" i="126"/>
  <c r="AT234" i="126" s="1"/>
  <c r="N233" i="126"/>
  <c r="AT233" i="126" s="1"/>
  <c r="N232" i="126"/>
  <c r="AT232" i="126" s="1"/>
  <c r="N231" i="126"/>
  <c r="AT231" i="126" s="1"/>
  <c r="N230" i="126"/>
  <c r="AS229" i="126"/>
  <c r="AR229" i="126"/>
  <c r="AQ229" i="126"/>
  <c r="AP229" i="126"/>
  <c r="AO229" i="126"/>
  <c r="AN229" i="126"/>
  <c r="AM229" i="126"/>
  <c r="AL229" i="126"/>
  <c r="AK229" i="126"/>
  <c r="AJ229" i="126"/>
  <c r="AI229" i="126"/>
  <c r="AH229" i="126"/>
  <c r="AG229" i="126"/>
  <c r="AF229" i="126"/>
  <c r="AE229" i="126"/>
  <c r="AD229" i="126"/>
  <c r="AC229" i="126"/>
  <c r="AB229" i="126"/>
  <c r="AA229" i="126"/>
  <c r="Z229" i="126"/>
  <c r="Y229" i="126"/>
  <c r="X229" i="126"/>
  <c r="W229" i="126"/>
  <c r="V229" i="126"/>
  <c r="U229" i="126"/>
  <c r="T229" i="126"/>
  <c r="S229" i="126"/>
  <c r="R229" i="126"/>
  <c r="Q229" i="126"/>
  <c r="P229" i="126"/>
  <c r="O229" i="126"/>
  <c r="M229" i="126"/>
  <c r="L229" i="126"/>
  <c r="K229" i="126"/>
  <c r="J229" i="126"/>
  <c r="I229" i="126"/>
  <c r="H229" i="126"/>
  <c r="G229" i="126"/>
  <c r="N228" i="126"/>
  <c r="AT228" i="126" s="1"/>
  <c r="N227" i="126"/>
  <c r="AS226" i="126"/>
  <c r="AR226" i="126"/>
  <c r="AQ226" i="126"/>
  <c r="AP226" i="126"/>
  <c r="AO226" i="126"/>
  <c r="AN226" i="126"/>
  <c r="AM226" i="126"/>
  <c r="AL226" i="126"/>
  <c r="AK226" i="126"/>
  <c r="AJ226" i="126"/>
  <c r="AI226" i="126"/>
  <c r="AH226" i="126"/>
  <c r="AG226" i="126"/>
  <c r="AF226" i="126"/>
  <c r="AE226" i="126"/>
  <c r="AD226" i="126"/>
  <c r="AC226" i="126"/>
  <c r="AB226" i="126"/>
  <c r="AA226" i="126"/>
  <c r="Z226" i="126"/>
  <c r="Y226" i="126"/>
  <c r="X226" i="126"/>
  <c r="W226" i="126"/>
  <c r="V226" i="126"/>
  <c r="U226" i="126"/>
  <c r="T226" i="126"/>
  <c r="S226" i="126"/>
  <c r="R226" i="126"/>
  <c r="Q226" i="126"/>
  <c r="P226" i="126"/>
  <c r="O226" i="126"/>
  <c r="M226" i="126"/>
  <c r="L226" i="126"/>
  <c r="K226" i="126"/>
  <c r="J226" i="126"/>
  <c r="I226" i="126"/>
  <c r="H226" i="126"/>
  <c r="G226" i="126"/>
  <c r="N225" i="126"/>
  <c r="AS224" i="126"/>
  <c r="AR224" i="126"/>
  <c r="AQ224" i="126"/>
  <c r="AP224" i="126"/>
  <c r="AO224" i="126"/>
  <c r="AN224" i="126"/>
  <c r="AM224" i="126"/>
  <c r="AL224" i="126"/>
  <c r="AK224" i="126"/>
  <c r="AJ224" i="126"/>
  <c r="AI224" i="126"/>
  <c r="AH224" i="126"/>
  <c r="AG224" i="126"/>
  <c r="AF224" i="126"/>
  <c r="AE224" i="126"/>
  <c r="AD224" i="126"/>
  <c r="AC224" i="126"/>
  <c r="AB224" i="126"/>
  <c r="AA224" i="126"/>
  <c r="Z224" i="126"/>
  <c r="Y224" i="126"/>
  <c r="X224" i="126"/>
  <c r="W224" i="126"/>
  <c r="V224" i="126"/>
  <c r="U224" i="126"/>
  <c r="T224" i="126"/>
  <c r="S224" i="126"/>
  <c r="R224" i="126"/>
  <c r="Q224" i="126"/>
  <c r="P224" i="126"/>
  <c r="O224" i="126"/>
  <c r="M224" i="126"/>
  <c r="L224" i="126"/>
  <c r="K224" i="126"/>
  <c r="J224" i="126"/>
  <c r="I224" i="126"/>
  <c r="H224" i="126"/>
  <c r="G224" i="126"/>
  <c r="N223" i="126"/>
  <c r="N224" i="126" s="1"/>
  <c r="AS222" i="126"/>
  <c r="AR222" i="126"/>
  <c r="AQ222" i="126"/>
  <c r="AP222" i="126"/>
  <c r="AO222" i="126"/>
  <c r="AN222" i="126"/>
  <c r="AM222" i="126"/>
  <c r="AL222" i="126"/>
  <c r="AK222" i="126"/>
  <c r="AJ222" i="126"/>
  <c r="AI222" i="126"/>
  <c r="AH222" i="126"/>
  <c r="AG222" i="126"/>
  <c r="AF222" i="126"/>
  <c r="AE222" i="126"/>
  <c r="AD222" i="126"/>
  <c r="AC222" i="126"/>
  <c r="AB222" i="126"/>
  <c r="AA222" i="126"/>
  <c r="Z222" i="126"/>
  <c r="Y222" i="126"/>
  <c r="X222" i="126"/>
  <c r="W222" i="126"/>
  <c r="V222" i="126"/>
  <c r="U222" i="126"/>
  <c r="T222" i="126"/>
  <c r="S222" i="126"/>
  <c r="R222" i="126"/>
  <c r="Q222" i="126"/>
  <c r="P222" i="126"/>
  <c r="O222" i="126"/>
  <c r="M222" i="126"/>
  <c r="L222" i="126"/>
  <c r="K222" i="126"/>
  <c r="J222" i="126"/>
  <c r="I222" i="126"/>
  <c r="H222" i="126"/>
  <c r="G222" i="126"/>
  <c r="N221" i="126"/>
  <c r="AT221" i="126" s="1"/>
  <c r="N220" i="126"/>
  <c r="AT220" i="126" s="1"/>
  <c r="N219" i="126"/>
  <c r="AT219" i="126" s="1"/>
  <c r="N218" i="126"/>
  <c r="AT218" i="126" s="1"/>
  <c r="N217" i="126"/>
  <c r="AT217" i="126" s="1"/>
  <c r="N216" i="126"/>
  <c r="AT216" i="126" s="1"/>
  <c r="N215" i="126"/>
  <c r="AT215" i="126" s="1"/>
  <c r="N214" i="126"/>
  <c r="AT214" i="126" s="1"/>
  <c r="N213" i="126"/>
  <c r="AS212" i="126"/>
  <c r="AR212" i="126"/>
  <c r="AQ212" i="126"/>
  <c r="AP212" i="126"/>
  <c r="AO212" i="126"/>
  <c r="AN212" i="126"/>
  <c r="AM212" i="126"/>
  <c r="AL212" i="126"/>
  <c r="AK212" i="126"/>
  <c r="AJ212" i="126"/>
  <c r="AI212" i="126"/>
  <c r="AH212" i="126"/>
  <c r="AG212" i="126"/>
  <c r="AF212" i="126"/>
  <c r="AE212" i="126"/>
  <c r="AD212" i="126"/>
  <c r="AC212" i="126"/>
  <c r="AB212" i="126"/>
  <c r="AA212" i="126"/>
  <c r="Z212" i="126"/>
  <c r="Y212" i="126"/>
  <c r="X212" i="126"/>
  <c r="W212" i="126"/>
  <c r="V212" i="126"/>
  <c r="U212" i="126"/>
  <c r="T212" i="126"/>
  <c r="S212" i="126"/>
  <c r="R212" i="126"/>
  <c r="Q212" i="126"/>
  <c r="P212" i="126"/>
  <c r="O212" i="126"/>
  <c r="M212" i="126"/>
  <c r="L212" i="126"/>
  <c r="K212" i="126"/>
  <c r="J212" i="126"/>
  <c r="I212" i="126"/>
  <c r="H212" i="126"/>
  <c r="G212" i="126"/>
  <c r="N211" i="126"/>
  <c r="AT211" i="126" s="1"/>
  <c r="N210" i="126"/>
  <c r="AT210" i="126" s="1"/>
  <c r="N209" i="126"/>
  <c r="AS208" i="126"/>
  <c r="AR208" i="126"/>
  <c r="AQ208" i="126"/>
  <c r="AP208" i="126"/>
  <c r="AO208" i="126"/>
  <c r="AN208" i="126"/>
  <c r="AM208" i="126"/>
  <c r="AL208" i="126"/>
  <c r="AK208" i="126"/>
  <c r="AJ208" i="126"/>
  <c r="AI208" i="126"/>
  <c r="AH208" i="126"/>
  <c r="AG208" i="126"/>
  <c r="AF208" i="126"/>
  <c r="AE208" i="126"/>
  <c r="AD208" i="126"/>
  <c r="AC208" i="126"/>
  <c r="AB208" i="126"/>
  <c r="AA208" i="126"/>
  <c r="Z208" i="126"/>
  <c r="Y208" i="126"/>
  <c r="X208" i="126"/>
  <c r="W208" i="126"/>
  <c r="V208" i="126"/>
  <c r="U208" i="126"/>
  <c r="T208" i="126"/>
  <c r="S208" i="126"/>
  <c r="R208" i="126"/>
  <c r="Q208" i="126"/>
  <c r="P208" i="126"/>
  <c r="O208" i="126"/>
  <c r="M208" i="126"/>
  <c r="L208" i="126"/>
  <c r="K208" i="126"/>
  <c r="J208" i="126"/>
  <c r="I208" i="126"/>
  <c r="H208" i="126"/>
  <c r="G208" i="126"/>
  <c r="N207" i="126"/>
  <c r="AT207" i="126" s="1"/>
  <c r="N206" i="126"/>
  <c r="AT206" i="126" s="1"/>
  <c r="N205" i="126"/>
  <c r="AT205" i="126" s="1"/>
  <c r="N204" i="126"/>
  <c r="AT204" i="126" s="1"/>
  <c r="N203" i="126"/>
  <c r="AT203" i="126" s="1"/>
  <c r="N202" i="126"/>
  <c r="AT202" i="126" s="1"/>
  <c r="N201" i="126"/>
  <c r="AT201" i="126" s="1"/>
  <c r="N200" i="126"/>
  <c r="AT200" i="126" s="1"/>
  <c r="N199" i="126"/>
  <c r="AT199" i="126" s="1"/>
  <c r="N198" i="126"/>
  <c r="AT198" i="126" s="1"/>
  <c r="N197" i="126"/>
  <c r="AT197" i="126" s="1"/>
  <c r="N196" i="126"/>
  <c r="AT196" i="126" s="1"/>
  <c r="N195" i="126"/>
  <c r="AS194" i="126"/>
  <c r="AR194" i="126"/>
  <c r="AQ194" i="126"/>
  <c r="AQ272" i="126" s="1"/>
  <c r="AP194" i="126"/>
  <c r="AP272" i="126" s="1"/>
  <c r="AO194" i="126"/>
  <c r="AN194" i="126"/>
  <c r="AM194" i="126"/>
  <c r="AM272" i="126" s="1"/>
  <c r="AL194" i="126"/>
  <c r="AL272" i="126" s="1"/>
  <c r="AK194" i="126"/>
  <c r="AJ194" i="126"/>
  <c r="AI194" i="126"/>
  <c r="AI272" i="126" s="1"/>
  <c r="AH194" i="126"/>
  <c r="AH272" i="126" s="1"/>
  <c r="AG194" i="126"/>
  <c r="AF194" i="126"/>
  <c r="AE194" i="126"/>
  <c r="AE272" i="126" s="1"/>
  <c r="AD194" i="126"/>
  <c r="AD272" i="126" s="1"/>
  <c r="AC194" i="126"/>
  <c r="AB194" i="126"/>
  <c r="AA194" i="126"/>
  <c r="AA272" i="126" s="1"/>
  <c r="Z194" i="126"/>
  <c r="Z272" i="126" s="1"/>
  <c r="Y194" i="126"/>
  <c r="X194" i="126"/>
  <c r="W194" i="126"/>
  <c r="W272" i="126" s="1"/>
  <c r="V194" i="126"/>
  <c r="V272" i="126" s="1"/>
  <c r="U194" i="126"/>
  <c r="T194" i="126"/>
  <c r="S194" i="126"/>
  <c r="S272" i="126" s="1"/>
  <c r="R194" i="126"/>
  <c r="R272" i="126" s="1"/>
  <c r="Q194" i="126"/>
  <c r="P194" i="126"/>
  <c r="O194" i="126"/>
  <c r="O272" i="126" s="1"/>
  <c r="M194" i="126"/>
  <c r="M272" i="126" s="1"/>
  <c r="L194" i="126"/>
  <c r="K194" i="126"/>
  <c r="K272" i="126" s="1"/>
  <c r="J194" i="126"/>
  <c r="J272" i="126" s="1"/>
  <c r="I194" i="126"/>
  <c r="I272" i="126" s="1"/>
  <c r="H194" i="126"/>
  <c r="G194" i="126"/>
  <c r="G272" i="126" s="1"/>
  <c r="N193" i="126"/>
  <c r="AT193" i="126" s="1"/>
  <c r="N192" i="126"/>
  <c r="AT192" i="126" s="1"/>
  <c r="N191" i="126"/>
  <c r="AT191" i="126" s="1"/>
  <c r="N190" i="126"/>
  <c r="AT190" i="126" s="1"/>
  <c r="N189" i="126"/>
  <c r="AT189" i="126" s="1"/>
  <c r="N188" i="126"/>
  <c r="AT188" i="126" s="1"/>
  <c r="N187" i="126"/>
  <c r="AT187" i="126" s="1"/>
  <c r="N186" i="126"/>
  <c r="AT186" i="126" s="1"/>
  <c r="AT185" i="126"/>
  <c r="N185" i="126"/>
  <c r="N184" i="126"/>
  <c r="AT184" i="126" s="1"/>
  <c r="AT183" i="126"/>
  <c r="N183" i="126"/>
  <c r="N182" i="126"/>
  <c r="AT182" i="126" s="1"/>
  <c r="N181" i="126"/>
  <c r="AT181" i="126" s="1"/>
  <c r="N180" i="126"/>
  <c r="AT180" i="126" s="1"/>
  <c r="AT179" i="126"/>
  <c r="N179" i="126"/>
  <c r="N178" i="126"/>
  <c r="AT178" i="126" s="1"/>
  <c r="AT177" i="126"/>
  <c r="N177" i="126"/>
  <c r="N176" i="126"/>
  <c r="AT176" i="126" s="1"/>
  <c r="AT175" i="126"/>
  <c r="N175" i="126"/>
  <c r="N174" i="126"/>
  <c r="AT174" i="126" s="1"/>
  <c r="N173" i="126"/>
  <c r="AT173" i="126" s="1"/>
  <c r="N172" i="126"/>
  <c r="AT172" i="126" s="1"/>
  <c r="AT171" i="126"/>
  <c r="N171" i="126"/>
  <c r="N170" i="126"/>
  <c r="AT170" i="126" s="1"/>
  <c r="AT169" i="126"/>
  <c r="N169" i="126"/>
  <c r="N168" i="126"/>
  <c r="AT168" i="126" s="1"/>
  <c r="AT167" i="126"/>
  <c r="N167" i="126"/>
  <c r="N166" i="126"/>
  <c r="AT166" i="126" s="1"/>
  <c r="N165" i="126"/>
  <c r="AT165" i="126" s="1"/>
  <c r="N164" i="126"/>
  <c r="AT164" i="126" s="1"/>
  <c r="AT163" i="126"/>
  <c r="N163" i="126"/>
  <c r="N162" i="126"/>
  <c r="AT162" i="126" s="1"/>
  <c r="AT161" i="126"/>
  <c r="N161" i="126"/>
  <c r="N160" i="126"/>
  <c r="AT160" i="126" s="1"/>
  <c r="AT159" i="126"/>
  <c r="N159" i="126"/>
  <c r="N158" i="126"/>
  <c r="AT158" i="126" s="1"/>
  <c r="N157" i="126"/>
  <c r="AT157" i="126" s="1"/>
  <c r="N156" i="126"/>
  <c r="AT156" i="126" s="1"/>
  <c r="AT155" i="126"/>
  <c r="N155" i="126"/>
  <c r="N154" i="126"/>
  <c r="AT154" i="126" s="1"/>
  <c r="AT153" i="126"/>
  <c r="N153" i="126"/>
  <c r="N152" i="126"/>
  <c r="AT152" i="126" s="1"/>
  <c r="AT151" i="126"/>
  <c r="N151" i="126"/>
  <c r="N150" i="126"/>
  <c r="AT150" i="126" s="1"/>
  <c r="N149" i="126"/>
  <c r="AT149" i="126" s="1"/>
  <c r="N148" i="126"/>
  <c r="AT148" i="126" s="1"/>
  <c r="AT147" i="126"/>
  <c r="N147" i="126"/>
  <c r="N146" i="126"/>
  <c r="AT146" i="126" s="1"/>
  <c r="AT145" i="126"/>
  <c r="N145" i="126"/>
  <c r="N144" i="126"/>
  <c r="F143" i="126"/>
  <c r="AS142" i="126"/>
  <c r="AR142" i="126"/>
  <c r="AQ142" i="126"/>
  <c r="AP142" i="126"/>
  <c r="AO142" i="126"/>
  <c r="AN142" i="126"/>
  <c r="AM142" i="126"/>
  <c r="AL142" i="126"/>
  <c r="AK142" i="126"/>
  <c r="AJ142" i="126"/>
  <c r="AI142" i="126"/>
  <c r="AH142" i="126"/>
  <c r="AG142" i="126"/>
  <c r="AF142" i="126"/>
  <c r="AE142" i="126"/>
  <c r="AD142" i="126"/>
  <c r="AC142" i="126"/>
  <c r="AB142" i="126"/>
  <c r="AA142" i="126"/>
  <c r="Z142" i="126"/>
  <c r="Y142" i="126"/>
  <c r="X142" i="126"/>
  <c r="W142" i="126"/>
  <c r="V142" i="126"/>
  <c r="U142" i="126"/>
  <c r="T142" i="126"/>
  <c r="S142" i="126"/>
  <c r="R142" i="126"/>
  <c r="Q142" i="126"/>
  <c r="P142" i="126"/>
  <c r="O142" i="126"/>
  <c r="M142" i="126"/>
  <c r="L142" i="126"/>
  <c r="K142" i="126"/>
  <c r="J142" i="126"/>
  <c r="I142" i="126"/>
  <c r="H142" i="126"/>
  <c r="G142" i="126"/>
  <c r="AT141" i="126"/>
  <c r="N141" i="126"/>
  <c r="AT140" i="126"/>
  <c r="N140" i="126"/>
  <c r="AT139" i="126"/>
  <c r="N139" i="126"/>
  <c r="AT138" i="126"/>
  <c r="AT142" i="126" s="1"/>
  <c r="N138" i="126"/>
  <c r="N142" i="126" s="1"/>
  <c r="AS137" i="126"/>
  <c r="AR137" i="126"/>
  <c r="AQ137" i="126"/>
  <c r="AP137" i="126"/>
  <c r="AO137" i="126"/>
  <c r="AN137" i="126"/>
  <c r="AM137" i="126"/>
  <c r="AL137" i="126"/>
  <c r="AK137" i="126"/>
  <c r="AJ137" i="126"/>
  <c r="AI137" i="126"/>
  <c r="AH137" i="126"/>
  <c r="AG137" i="126"/>
  <c r="AF137" i="126"/>
  <c r="AE137" i="126"/>
  <c r="AD137" i="126"/>
  <c r="AC137" i="126"/>
  <c r="AB137" i="126"/>
  <c r="AA137" i="126"/>
  <c r="Z137" i="126"/>
  <c r="Y137" i="126"/>
  <c r="X137" i="126"/>
  <c r="W137" i="126"/>
  <c r="V137" i="126"/>
  <c r="U137" i="126"/>
  <c r="T137" i="126"/>
  <c r="S137" i="126"/>
  <c r="R137" i="126"/>
  <c r="Q137" i="126"/>
  <c r="P137" i="126"/>
  <c r="O137" i="126"/>
  <c r="M137" i="126"/>
  <c r="L137" i="126"/>
  <c r="K137" i="126"/>
  <c r="J137" i="126"/>
  <c r="I137" i="126"/>
  <c r="H137" i="126"/>
  <c r="G137" i="126"/>
  <c r="AT136" i="126"/>
  <c r="N136" i="126"/>
  <c r="AT135" i="126"/>
  <c r="AT137" i="126" s="1"/>
  <c r="N135" i="126"/>
  <c r="N137" i="126" s="1"/>
  <c r="AS134" i="126"/>
  <c r="AR134" i="126"/>
  <c r="AQ134" i="126"/>
  <c r="AP134" i="126"/>
  <c r="AO134" i="126"/>
  <c r="AN134" i="126"/>
  <c r="AM134" i="126"/>
  <c r="AL134" i="126"/>
  <c r="AK134" i="126"/>
  <c r="AJ134" i="126"/>
  <c r="AI134" i="126"/>
  <c r="AH134" i="126"/>
  <c r="AG134" i="126"/>
  <c r="AF134" i="126"/>
  <c r="AE134" i="126"/>
  <c r="AD134" i="126"/>
  <c r="AC134" i="126"/>
  <c r="AB134" i="126"/>
  <c r="AA134" i="126"/>
  <c r="Z134" i="126"/>
  <c r="Y134" i="126"/>
  <c r="X134" i="126"/>
  <c r="W134" i="126"/>
  <c r="V134" i="126"/>
  <c r="U134" i="126"/>
  <c r="T134" i="126"/>
  <c r="S134" i="126"/>
  <c r="R134" i="126"/>
  <c r="Q134" i="126"/>
  <c r="P134" i="126"/>
  <c r="O134" i="126"/>
  <c r="M134" i="126"/>
  <c r="L134" i="126"/>
  <c r="K134" i="126"/>
  <c r="J134" i="126"/>
  <c r="I134" i="126"/>
  <c r="H134" i="126"/>
  <c r="G134" i="126"/>
  <c r="N133" i="126"/>
  <c r="AT133" i="126" s="1"/>
  <c r="AT132" i="126"/>
  <c r="N132" i="126"/>
  <c r="N131" i="126"/>
  <c r="AT131" i="126" s="1"/>
  <c r="AT130" i="126"/>
  <c r="N130" i="126"/>
  <c r="N129" i="126"/>
  <c r="AT129" i="126" s="1"/>
  <c r="AT128" i="126"/>
  <c r="N128" i="126"/>
  <c r="N127" i="126"/>
  <c r="AT127" i="126" s="1"/>
  <c r="AT126" i="126"/>
  <c r="N126" i="126"/>
  <c r="N125" i="126"/>
  <c r="N134" i="126" s="1"/>
  <c r="AS124" i="126"/>
  <c r="AR124" i="126"/>
  <c r="AQ124" i="126"/>
  <c r="AP124" i="126"/>
  <c r="AO124" i="126"/>
  <c r="AN124" i="126"/>
  <c r="AM124" i="126"/>
  <c r="AL124" i="126"/>
  <c r="AK124" i="126"/>
  <c r="AJ124" i="126"/>
  <c r="AI124" i="126"/>
  <c r="AH124" i="126"/>
  <c r="AG124" i="126"/>
  <c r="AF124" i="126"/>
  <c r="AE124" i="126"/>
  <c r="AD124" i="126"/>
  <c r="AC124" i="126"/>
  <c r="AB124" i="126"/>
  <c r="AA124" i="126"/>
  <c r="Z124" i="126"/>
  <c r="Y124" i="126"/>
  <c r="X124" i="126"/>
  <c r="W124" i="126"/>
  <c r="V124" i="126"/>
  <c r="U124" i="126"/>
  <c r="T124" i="126"/>
  <c r="S124" i="126"/>
  <c r="R124" i="126"/>
  <c r="Q124" i="126"/>
  <c r="P124" i="126"/>
  <c r="O124" i="126"/>
  <c r="M124" i="126"/>
  <c r="L124" i="126"/>
  <c r="K124" i="126"/>
  <c r="J124" i="126"/>
  <c r="I124" i="126"/>
  <c r="H124" i="126"/>
  <c r="G124" i="126"/>
  <c r="AT123" i="126"/>
  <c r="N123" i="126"/>
  <c r="N122" i="126"/>
  <c r="AT122" i="126" s="1"/>
  <c r="AT121" i="126"/>
  <c r="N121" i="126"/>
  <c r="N120" i="126"/>
  <c r="AT120" i="126" s="1"/>
  <c r="AT119" i="126"/>
  <c r="N119" i="126"/>
  <c r="N118" i="126"/>
  <c r="AT118" i="126" s="1"/>
  <c r="AT117" i="126"/>
  <c r="N117" i="126"/>
  <c r="N116" i="126"/>
  <c r="AT116" i="126" s="1"/>
  <c r="AT115" i="126"/>
  <c r="N115" i="126"/>
  <c r="N114" i="126"/>
  <c r="AT114" i="126" s="1"/>
  <c r="AT113" i="126"/>
  <c r="N113" i="126"/>
  <c r="N112" i="126"/>
  <c r="AT112" i="126" s="1"/>
  <c r="AT111" i="126"/>
  <c r="N111" i="126"/>
  <c r="N110" i="126"/>
  <c r="AT110" i="126" s="1"/>
  <c r="AT109" i="126"/>
  <c r="N109" i="126"/>
  <c r="N108" i="126"/>
  <c r="AT108" i="126" s="1"/>
  <c r="AT107" i="126"/>
  <c r="N107" i="126"/>
  <c r="N106" i="126"/>
  <c r="AT106" i="126" s="1"/>
  <c r="AT105" i="126"/>
  <c r="N105" i="126"/>
  <c r="N104" i="126"/>
  <c r="AT104" i="126" s="1"/>
  <c r="AT103" i="126"/>
  <c r="N103" i="126"/>
  <c r="N102" i="126"/>
  <c r="AT102" i="126" s="1"/>
  <c r="AT101" i="126"/>
  <c r="N101" i="126"/>
  <c r="N100" i="126"/>
  <c r="AT100" i="126" s="1"/>
  <c r="AT99" i="126"/>
  <c r="N99" i="126"/>
  <c r="N98" i="126"/>
  <c r="AT98" i="126" s="1"/>
  <c r="AT97" i="126"/>
  <c r="N97" i="126"/>
  <c r="N96" i="126"/>
  <c r="AT96" i="126" s="1"/>
  <c r="AT95" i="126"/>
  <c r="N95" i="126"/>
  <c r="N94" i="126"/>
  <c r="AT94" i="126" s="1"/>
  <c r="AT93" i="126"/>
  <c r="N93" i="126"/>
  <c r="N92" i="126"/>
  <c r="AT92" i="126" s="1"/>
  <c r="AT91" i="126"/>
  <c r="N91" i="126"/>
  <c r="N90" i="126"/>
  <c r="AT90" i="126" s="1"/>
  <c r="AT89" i="126"/>
  <c r="N89" i="126"/>
  <c r="N88" i="126"/>
  <c r="AT88" i="126" s="1"/>
  <c r="AT87" i="126"/>
  <c r="N87" i="126"/>
  <c r="N86" i="126"/>
  <c r="AT86" i="126" s="1"/>
  <c r="AT85" i="126"/>
  <c r="N85" i="126"/>
  <c r="N84" i="126"/>
  <c r="AT84" i="126" s="1"/>
  <c r="AT83" i="126"/>
  <c r="N83" i="126"/>
  <c r="N82" i="126"/>
  <c r="AT82" i="126" s="1"/>
  <c r="AT81" i="126"/>
  <c r="N81" i="126"/>
  <c r="N80" i="126"/>
  <c r="AT80" i="126" s="1"/>
  <c r="AT79" i="126"/>
  <c r="N79" i="126"/>
  <c r="N78" i="126"/>
  <c r="AT78" i="126" s="1"/>
  <c r="AT77" i="126"/>
  <c r="N77" i="126"/>
  <c r="N76" i="126"/>
  <c r="AT76" i="126" s="1"/>
  <c r="AT75" i="126"/>
  <c r="N75" i="126"/>
  <c r="N74" i="126"/>
  <c r="AT74" i="126" s="1"/>
  <c r="AT73" i="126"/>
  <c r="N73" i="126"/>
  <c r="N72" i="126"/>
  <c r="AT72" i="126" s="1"/>
  <c r="AT71" i="126"/>
  <c r="N71" i="126"/>
  <c r="N70" i="126"/>
  <c r="AT70" i="126" s="1"/>
  <c r="AT69" i="126"/>
  <c r="N69" i="126"/>
  <c r="N68" i="126"/>
  <c r="AT68" i="126" s="1"/>
  <c r="AT67" i="126"/>
  <c r="N67" i="126"/>
  <c r="N66" i="126"/>
  <c r="AT66" i="126" s="1"/>
  <c r="AT65" i="126"/>
  <c r="N65" i="126"/>
  <c r="N64" i="126"/>
  <c r="AT64" i="126" s="1"/>
  <c r="AT63" i="126"/>
  <c r="N63" i="126"/>
  <c r="N62" i="126"/>
  <c r="AT62" i="126" s="1"/>
  <c r="AT61" i="126"/>
  <c r="N61" i="126"/>
  <c r="N60" i="126"/>
  <c r="AT60" i="126" s="1"/>
  <c r="AT59" i="126"/>
  <c r="N59" i="126"/>
  <c r="N58" i="126"/>
  <c r="AT58" i="126" s="1"/>
  <c r="AT57" i="126"/>
  <c r="N57" i="126"/>
  <c r="N56" i="126"/>
  <c r="AT56" i="126" s="1"/>
  <c r="AT55" i="126"/>
  <c r="N55" i="126"/>
  <c r="N54" i="126"/>
  <c r="AT54" i="126" s="1"/>
  <c r="AT53" i="126"/>
  <c r="N53" i="126"/>
  <c r="N52" i="126"/>
  <c r="AT52" i="126" s="1"/>
  <c r="AT51" i="126"/>
  <c r="N51" i="126"/>
  <c r="N50" i="126"/>
  <c r="AT50" i="126" s="1"/>
  <c r="AT49" i="126"/>
  <c r="N49" i="126"/>
  <c r="N48" i="126"/>
  <c r="AT48" i="126" s="1"/>
  <c r="AT47" i="126"/>
  <c r="N47" i="126"/>
  <c r="N46" i="126"/>
  <c r="AT46" i="126" s="1"/>
  <c r="AT45" i="126"/>
  <c r="N45" i="126"/>
  <c r="N44" i="126"/>
  <c r="AT44" i="126" s="1"/>
  <c r="AT43" i="126"/>
  <c r="N43" i="126"/>
  <c r="N42" i="126"/>
  <c r="AT42" i="126" s="1"/>
  <c r="AT41" i="126"/>
  <c r="N41" i="126"/>
  <c r="N40" i="126"/>
  <c r="AT40" i="126" s="1"/>
  <c r="AT39" i="126"/>
  <c r="N39" i="126"/>
  <c r="N38" i="126"/>
  <c r="AT38" i="126" s="1"/>
  <c r="AT37" i="126"/>
  <c r="N37" i="126"/>
  <c r="N36" i="126"/>
  <c r="AT36" i="126" s="1"/>
  <c r="AT35" i="126"/>
  <c r="N35" i="126"/>
  <c r="N34" i="126"/>
  <c r="AT34" i="126" s="1"/>
  <c r="AT33" i="126"/>
  <c r="N33" i="126"/>
  <c r="N32" i="126"/>
  <c r="AT32" i="126" s="1"/>
  <c r="AT31" i="126"/>
  <c r="N31" i="126"/>
  <c r="N30" i="126"/>
  <c r="AT30" i="126" s="1"/>
  <c r="AT29" i="126"/>
  <c r="N29" i="126"/>
  <c r="N28" i="126"/>
  <c r="AT28" i="126" s="1"/>
  <c r="AT27" i="126"/>
  <c r="N27" i="126"/>
  <c r="N26" i="126"/>
  <c r="AT26" i="126" s="1"/>
  <c r="AT25" i="126"/>
  <c r="AT124" i="126" s="1"/>
  <c r="N25" i="126"/>
  <c r="N124" i="126" s="1"/>
  <c r="AS24" i="126"/>
  <c r="AR24" i="126"/>
  <c r="AQ24" i="126"/>
  <c r="AP24" i="126"/>
  <c r="AO24" i="126"/>
  <c r="AN24" i="126"/>
  <c r="AM24" i="126"/>
  <c r="AL24" i="126"/>
  <c r="AK24" i="126"/>
  <c r="AJ24" i="126"/>
  <c r="AI24" i="126"/>
  <c r="AH24" i="126"/>
  <c r="AG24" i="126"/>
  <c r="AF24" i="126"/>
  <c r="AE24" i="126"/>
  <c r="AD24" i="126"/>
  <c r="AC24" i="126"/>
  <c r="AB24" i="126"/>
  <c r="AA24" i="126"/>
  <c r="Z24" i="126"/>
  <c r="Y24" i="126"/>
  <c r="X24" i="126"/>
  <c r="W24" i="126"/>
  <c r="V24" i="126"/>
  <c r="U24" i="126"/>
  <c r="T24" i="126"/>
  <c r="S24" i="126"/>
  <c r="R24" i="126"/>
  <c r="Q24" i="126"/>
  <c r="P24" i="126"/>
  <c r="O24" i="126"/>
  <c r="M24" i="126"/>
  <c r="L24" i="126"/>
  <c r="K24" i="126"/>
  <c r="J24" i="126"/>
  <c r="I24" i="126"/>
  <c r="H24" i="126"/>
  <c r="G24" i="126"/>
  <c r="N23" i="126"/>
  <c r="AT23" i="126" s="1"/>
  <c r="AT22" i="126"/>
  <c r="N22" i="126"/>
  <c r="N21" i="126"/>
  <c r="AT21" i="126" s="1"/>
  <c r="AT20" i="126"/>
  <c r="N20" i="126"/>
  <c r="N19" i="126"/>
  <c r="AT19" i="126" s="1"/>
  <c r="AT18" i="126"/>
  <c r="N18" i="126"/>
  <c r="N17" i="126"/>
  <c r="AT17" i="126" s="1"/>
  <c r="AT16" i="126"/>
  <c r="N16" i="126"/>
  <c r="N15" i="126"/>
  <c r="AT15" i="126" s="1"/>
  <c r="AT14" i="126"/>
  <c r="N14" i="126"/>
  <c r="N13" i="126"/>
  <c r="AT13" i="126" s="1"/>
  <c r="AT12" i="126"/>
  <c r="N12" i="126"/>
  <c r="N11" i="126"/>
  <c r="AT11" i="126" s="1"/>
  <c r="AT10" i="126"/>
  <c r="N10" i="126"/>
  <c r="N9" i="126"/>
  <c r="AT9" i="126" s="1"/>
  <c r="AT8" i="126"/>
  <c r="N8" i="126"/>
  <c r="N7" i="126"/>
  <c r="AT7" i="126" s="1"/>
  <c r="AT6" i="126"/>
  <c r="N6" i="126"/>
  <c r="AS5" i="126"/>
  <c r="AR5" i="126"/>
  <c r="AQ5" i="126"/>
  <c r="AP5" i="126"/>
  <c r="AO5" i="126"/>
  <c r="AN5" i="126"/>
  <c r="AM5" i="126"/>
  <c r="AL5" i="126"/>
  <c r="AK5" i="126"/>
  <c r="AJ5" i="126"/>
  <c r="AI5" i="126"/>
  <c r="AH5" i="126"/>
  <c r="AG5" i="126"/>
  <c r="AF5" i="126"/>
  <c r="AE5" i="126"/>
  <c r="AD5" i="126"/>
  <c r="AC5" i="126"/>
  <c r="AB5" i="126"/>
  <c r="AA5" i="126"/>
  <c r="Z5" i="126"/>
  <c r="Y5" i="126"/>
  <c r="X5" i="126"/>
  <c r="W5" i="126"/>
  <c r="V5" i="126"/>
  <c r="U5" i="126"/>
  <c r="T5" i="126"/>
  <c r="S5" i="126"/>
  <c r="R5" i="126"/>
  <c r="Q5" i="126"/>
  <c r="P5" i="126"/>
  <c r="O5" i="126"/>
  <c r="M5" i="126"/>
  <c r="L5" i="126"/>
  <c r="K5" i="126"/>
  <c r="J5" i="126"/>
  <c r="I5" i="126"/>
  <c r="H5" i="126"/>
  <c r="G5" i="126"/>
  <c r="N4" i="126"/>
  <c r="AT4" i="126" s="1"/>
  <c r="AT3" i="126"/>
  <c r="N3" i="126"/>
  <c r="N2" i="126"/>
  <c r="R112" i="127" l="1"/>
  <c r="N41" i="127"/>
  <c r="R134" i="127"/>
  <c r="T182" i="127"/>
  <c r="E275" i="127"/>
  <c r="E274" i="127"/>
  <c r="T277" i="127"/>
  <c r="U277" i="127"/>
  <c r="F292" i="127"/>
  <c r="F22" i="127"/>
  <c r="J292" i="127"/>
  <c r="J22" i="127"/>
  <c r="R293" i="127"/>
  <c r="R11" i="127"/>
  <c r="R20" i="127"/>
  <c r="G22" i="127"/>
  <c r="L304" i="127"/>
  <c r="F23" i="127"/>
  <c r="K23" i="127"/>
  <c r="R313" i="127"/>
  <c r="H313" i="127"/>
  <c r="T321" i="127"/>
  <c r="T39" i="127"/>
  <c r="E42" i="127"/>
  <c r="D326" i="127"/>
  <c r="R326" i="127" s="1"/>
  <c r="H326" i="127"/>
  <c r="L326" i="127"/>
  <c r="U326" i="127" s="1"/>
  <c r="U44" i="127"/>
  <c r="C327" i="127"/>
  <c r="C41" i="127"/>
  <c r="G327" i="127"/>
  <c r="K327" i="127"/>
  <c r="R45" i="127"/>
  <c r="E333" i="127"/>
  <c r="U53" i="127"/>
  <c r="C348" i="127"/>
  <c r="G348" i="127"/>
  <c r="K348" i="127"/>
  <c r="R67" i="127"/>
  <c r="G162" i="127"/>
  <c r="S150" i="127"/>
  <c r="R150" i="127"/>
  <c r="G301" i="127"/>
  <c r="S301" i="127" s="1"/>
  <c r="S159" i="127"/>
  <c r="R159" i="127"/>
  <c r="C163" i="127"/>
  <c r="G182" i="127"/>
  <c r="F315" i="127"/>
  <c r="S315" i="127" s="1"/>
  <c r="S173" i="127"/>
  <c r="R180" i="127"/>
  <c r="N181" i="127"/>
  <c r="M182" i="127"/>
  <c r="S186" i="127"/>
  <c r="S171" i="127"/>
  <c r="I205" i="127"/>
  <c r="I204" i="127"/>
  <c r="M205" i="127"/>
  <c r="U192" i="127"/>
  <c r="R194" i="127"/>
  <c r="V297" i="127"/>
  <c r="R241" i="127"/>
  <c r="H275" i="127"/>
  <c r="H274" i="127"/>
  <c r="K292" i="127"/>
  <c r="G292" i="127"/>
  <c r="S10" i="127"/>
  <c r="G23" i="127"/>
  <c r="G305" i="127" s="1"/>
  <c r="K311" i="127"/>
  <c r="T311" i="127" s="1"/>
  <c r="T29" i="127"/>
  <c r="J312" i="127"/>
  <c r="I320" i="127"/>
  <c r="T320" i="127" s="1"/>
  <c r="M42" i="127"/>
  <c r="V45" i="127"/>
  <c r="J328" i="127"/>
  <c r="T328" i="127" s="1"/>
  <c r="J313" i="127"/>
  <c r="T313" i="127" s="1"/>
  <c r="K335" i="127"/>
  <c r="L342" i="127"/>
  <c r="U342" i="127" s="1"/>
  <c r="U61" i="127"/>
  <c r="F349" i="127"/>
  <c r="S68" i="127"/>
  <c r="G163" i="127"/>
  <c r="I181" i="127"/>
  <c r="T181" i="127" s="1"/>
  <c r="U173" i="127"/>
  <c r="F336" i="127"/>
  <c r="S336" i="127" s="1"/>
  <c r="S195" i="127"/>
  <c r="E204" i="127"/>
  <c r="D233" i="127"/>
  <c r="D232" i="127"/>
  <c r="R232" i="127" s="1"/>
  <c r="D292" i="127"/>
  <c r="H292" i="127"/>
  <c r="M292" i="127"/>
  <c r="M23" i="127"/>
  <c r="M305" i="127" s="1"/>
  <c r="U10" i="127"/>
  <c r="T10" i="127"/>
  <c r="U11" i="127"/>
  <c r="U20" i="127"/>
  <c r="D22" i="127"/>
  <c r="D304" i="127" s="1"/>
  <c r="I22" i="127"/>
  <c r="H23" i="127"/>
  <c r="G311" i="127"/>
  <c r="G42" i="127"/>
  <c r="T30" i="127"/>
  <c r="R39" i="127"/>
  <c r="C322" i="127"/>
  <c r="G322" i="127"/>
  <c r="S322" i="127" s="1"/>
  <c r="K322" i="127"/>
  <c r="R40" i="127"/>
  <c r="I41" i="127"/>
  <c r="U52" i="127"/>
  <c r="D334" i="127"/>
  <c r="V62" i="127"/>
  <c r="F344" i="127"/>
  <c r="S63" i="127"/>
  <c r="J344" i="127"/>
  <c r="N344" i="127"/>
  <c r="M64" i="127"/>
  <c r="L65" i="127"/>
  <c r="R93" i="127"/>
  <c r="U80" i="127"/>
  <c r="C111" i="127"/>
  <c r="H112" i="127"/>
  <c r="S100" i="127"/>
  <c r="V100" i="127"/>
  <c r="S107" i="127"/>
  <c r="S108" i="127"/>
  <c r="V110" i="127"/>
  <c r="T114" i="127"/>
  <c r="V116" i="127"/>
  <c r="S116" i="127"/>
  <c r="G135" i="127"/>
  <c r="S122" i="127"/>
  <c r="T123" i="127"/>
  <c r="S124" i="127"/>
  <c r="S130" i="127"/>
  <c r="V132" i="127"/>
  <c r="K134" i="127"/>
  <c r="V138" i="127"/>
  <c r="E163" i="127"/>
  <c r="V151" i="127"/>
  <c r="V293" i="127" s="1"/>
  <c r="V152" i="127"/>
  <c r="V294" i="127" s="1"/>
  <c r="V160" i="127"/>
  <c r="K163" i="127"/>
  <c r="E181" i="127"/>
  <c r="J182" i="127"/>
  <c r="T171" i="127"/>
  <c r="V178" i="127"/>
  <c r="T180" i="127"/>
  <c r="T192" i="127"/>
  <c r="T194" i="127"/>
  <c r="U195" i="127"/>
  <c r="U203" i="127"/>
  <c r="M204" i="127"/>
  <c r="R209" i="127"/>
  <c r="T294" i="127"/>
  <c r="C292" i="127"/>
  <c r="R292" i="127" s="1"/>
  <c r="S11" i="127"/>
  <c r="T20" i="127"/>
  <c r="C22" i="127"/>
  <c r="H22" i="127"/>
  <c r="H304" i="127" s="1"/>
  <c r="L23" i="127"/>
  <c r="S29" i="127"/>
  <c r="E312" i="127"/>
  <c r="R31" i="127"/>
  <c r="E320" i="127"/>
  <c r="M320" i="127"/>
  <c r="U320" i="127" s="1"/>
  <c r="U38" i="127"/>
  <c r="V39" i="127"/>
  <c r="V40" i="127"/>
  <c r="M41" i="127"/>
  <c r="M323" i="127" s="1"/>
  <c r="F42" i="127"/>
  <c r="F328" i="127"/>
  <c r="S328" i="127" s="1"/>
  <c r="S46" i="127"/>
  <c r="N328" i="127"/>
  <c r="N313" i="127"/>
  <c r="H334" i="127"/>
  <c r="R343" i="127"/>
  <c r="R62" i="127"/>
  <c r="H65" i="127"/>
  <c r="V67" i="127"/>
  <c r="J349" i="127"/>
  <c r="T349" i="127" s="1"/>
  <c r="J334" i="127"/>
  <c r="T334" i="127" s="1"/>
  <c r="N349" i="127"/>
  <c r="N334" i="127"/>
  <c r="E350" i="127"/>
  <c r="E65" i="127"/>
  <c r="E346" i="127" s="1"/>
  <c r="I335" i="127"/>
  <c r="T335" i="127" s="1"/>
  <c r="T54" i="127"/>
  <c r="M350" i="127"/>
  <c r="U350" i="127" s="1"/>
  <c r="M335" i="127"/>
  <c r="S80" i="127"/>
  <c r="F93" i="127"/>
  <c r="S93" i="127" s="1"/>
  <c r="U99" i="127"/>
  <c r="R100" i="127"/>
  <c r="V109" i="127"/>
  <c r="F134" i="127"/>
  <c r="V131" i="127"/>
  <c r="F135" i="127"/>
  <c r="V150" i="127"/>
  <c r="R152" i="127"/>
  <c r="V159" i="127"/>
  <c r="C182" i="127"/>
  <c r="N182" i="127"/>
  <c r="V171" i="127"/>
  <c r="V177" i="127"/>
  <c r="V186" i="127"/>
  <c r="U186" i="127"/>
  <c r="E337" i="127"/>
  <c r="V196" i="127"/>
  <c r="I337" i="127"/>
  <c r="T337" i="127" s="1"/>
  <c r="T196" i="127"/>
  <c r="H233" i="127"/>
  <c r="H232" i="127"/>
  <c r="S220" i="127"/>
  <c r="L233" i="127"/>
  <c r="U233" i="127" s="1"/>
  <c r="L232" i="127"/>
  <c r="U220" i="127"/>
  <c r="H251" i="127"/>
  <c r="V10" i="127"/>
  <c r="F293" i="127"/>
  <c r="S293" i="127" s="1"/>
  <c r="J293" i="127"/>
  <c r="N293" i="127"/>
  <c r="V11" i="127"/>
  <c r="F302" i="127"/>
  <c r="S20" i="127"/>
  <c r="J302" i="127"/>
  <c r="T302" i="127" s="1"/>
  <c r="N302" i="127"/>
  <c r="V20" i="127"/>
  <c r="E304" i="127"/>
  <c r="D23" i="127"/>
  <c r="D305" i="127" s="1"/>
  <c r="J23" i="127"/>
  <c r="N311" i="127"/>
  <c r="N42" i="127"/>
  <c r="H312" i="127"/>
  <c r="M312" i="127"/>
  <c r="U30" i="127"/>
  <c r="U31" i="127"/>
  <c r="T31" i="127"/>
  <c r="S38" i="127"/>
  <c r="D321" i="127"/>
  <c r="V321" i="127" s="1"/>
  <c r="H321" i="127"/>
  <c r="L321" i="127"/>
  <c r="U321" i="127" s="1"/>
  <c r="U39" i="127"/>
  <c r="S39" i="127"/>
  <c r="U322" i="127"/>
  <c r="S40" i="127"/>
  <c r="E41" i="127"/>
  <c r="J41" i="127"/>
  <c r="I42" i="127"/>
  <c r="S44" i="127"/>
  <c r="I65" i="127"/>
  <c r="C335" i="127"/>
  <c r="T69" i="127"/>
  <c r="D92" i="127"/>
  <c r="H92" i="127"/>
  <c r="V81" i="127"/>
  <c r="T81" i="127"/>
  <c r="J92" i="127"/>
  <c r="T92" i="127" s="1"/>
  <c r="I112" i="127"/>
  <c r="T112" i="127" s="1"/>
  <c r="U100" i="127"/>
  <c r="T101" i="127"/>
  <c r="L319" i="127"/>
  <c r="U319" i="127" s="1"/>
  <c r="U107" i="127"/>
  <c r="T109" i="127"/>
  <c r="D111" i="127"/>
  <c r="S114" i="127"/>
  <c r="F311" i="127"/>
  <c r="J112" i="127"/>
  <c r="J111" i="127"/>
  <c r="N112" i="127"/>
  <c r="N111" i="127"/>
  <c r="M112" i="127"/>
  <c r="U115" i="127"/>
  <c r="U116" i="127"/>
  <c r="U101" i="127"/>
  <c r="H135" i="127"/>
  <c r="N134" i="127"/>
  <c r="R341" i="127"/>
  <c r="R130" i="127"/>
  <c r="T131" i="127"/>
  <c r="V133" i="127"/>
  <c r="E135" i="127"/>
  <c r="R135" i="127" s="1"/>
  <c r="E134" i="127"/>
  <c r="I135" i="127"/>
  <c r="T135" i="127" s="1"/>
  <c r="I134" i="127"/>
  <c r="T122" i="127"/>
  <c r="U137" i="127"/>
  <c r="U138" i="127"/>
  <c r="U123" i="127"/>
  <c r="V124" i="127"/>
  <c r="R124" i="127"/>
  <c r="G134" i="127"/>
  <c r="S139" i="127"/>
  <c r="R139" i="127"/>
  <c r="F163" i="127"/>
  <c r="S163" i="127" s="1"/>
  <c r="J163" i="127"/>
  <c r="T163" i="127" s="1"/>
  <c r="N163" i="127"/>
  <c r="N305" i="127" s="1"/>
  <c r="S169" i="127"/>
  <c r="F182" i="127"/>
  <c r="K182" i="127"/>
  <c r="R314" i="127"/>
  <c r="G314" i="127"/>
  <c r="S314" i="127" s="1"/>
  <c r="S172" i="127"/>
  <c r="R172" i="127"/>
  <c r="T177" i="127"/>
  <c r="V179" i="127"/>
  <c r="J181" i="127"/>
  <c r="D182" i="127"/>
  <c r="D181" i="127"/>
  <c r="H182" i="127"/>
  <c r="H181" i="127"/>
  <c r="U184" i="127"/>
  <c r="V170" i="127"/>
  <c r="R170" i="127"/>
  <c r="S170" i="127"/>
  <c r="S185" i="127"/>
  <c r="R185" i="127"/>
  <c r="T186" i="127"/>
  <c r="C204" i="127"/>
  <c r="G204" i="127"/>
  <c r="K205" i="127"/>
  <c r="U196" i="127"/>
  <c r="V200" i="127"/>
  <c r="V300" i="127"/>
  <c r="C311" i="127"/>
  <c r="T44" i="127"/>
  <c r="S45" i="127"/>
  <c r="R46" i="127"/>
  <c r="V46" i="127"/>
  <c r="T53" i="127"/>
  <c r="L335" i="127"/>
  <c r="T61" i="127"/>
  <c r="U343" i="127"/>
  <c r="S62" i="127"/>
  <c r="R63" i="127"/>
  <c r="V63" i="127"/>
  <c r="J64" i="127"/>
  <c r="N64" i="127"/>
  <c r="U348" i="127"/>
  <c r="S67" i="127"/>
  <c r="R68" i="127"/>
  <c r="V68" i="127"/>
  <c r="U69" i="127"/>
  <c r="R80" i="127"/>
  <c r="V80" i="127"/>
  <c r="U81" i="127"/>
  <c r="C92" i="127"/>
  <c r="R92" i="127" s="1"/>
  <c r="G92" i="127"/>
  <c r="S92" i="127" s="1"/>
  <c r="K92" i="127"/>
  <c r="K304" i="127" s="1"/>
  <c r="T99" i="127"/>
  <c r="R101" i="127"/>
  <c r="T319" i="127"/>
  <c r="T107" i="127"/>
  <c r="R109" i="127"/>
  <c r="E111" i="127"/>
  <c r="I111" i="127"/>
  <c r="T111" i="127" s="1"/>
  <c r="M111" i="127"/>
  <c r="R114" i="127"/>
  <c r="R123" i="127"/>
  <c r="R131" i="127"/>
  <c r="D134" i="127"/>
  <c r="H134" i="127"/>
  <c r="L134" i="127"/>
  <c r="R151" i="127"/>
  <c r="S152" i="127"/>
  <c r="U153" i="127"/>
  <c r="R160" i="127"/>
  <c r="I162" i="127"/>
  <c r="T162" i="127" s="1"/>
  <c r="L163" i="127"/>
  <c r="U163" i="127" s="1"/>
  <c r="R169" i="127"/>
  <c r="V169" i="127"/>
  <c r="V315" i="127"/>
  <c r="R173" i="127"/>
  <c r="V173" i="127"/>
  <c r="R177" i="127"/>
  <c r="C181" i="127"/>
  <c r="G181" i="127"/>
  <c r="K181" i="127"/>
  <c r="R186" i="127"/>
  <c r="F204" i="127"/>
  <c r="S204" i="127" s="1"/>
  <c r="J205" i="127"/>
  <c r="J204" i="127"/>
  <c r="N204" i="127"/>
  <c r="V336" i="127"/>
  <c r="R336" i="127"/>
  <c r="R195" i="127"/>
  <c r="V195" i="127"/>
  <c r="F337" i="127"/>
  <c r="S337" i="127" s="1"/>
  <c r="S196" i="127"/>
  <c r="R200" i="127"/>
  <c r="V203" i="127"/>
  <c r="F205" i="127"/>
  <c r="U222" i="127"/>
  <c r="V298" i="127"/>
  <c r="V241" i="127"/>
  <c r="S256" i="127"/>
  <c r="U256" i="127"/>
  <c r="U241" i="127"/>
  <c r="R262" i="127"/>
  <c r="N275" i="127"/>
  <c r="R274" i="127"/>
  <c r="M295" i="127"/>
  <c r="R315" i="127"/>
  <c r="T292" i="127"/>
  <c r="N292" i="127"/>
  <c r="E293" i="127"/>
  <c r="I293" i="127"/>
  <c r="M293" i="127"/>
  <c r="U293" i="127" s="1"/>
  <c r="T11" i="127"/>
  <c r="D302" i="127"/>
  <c r="R302" i="127" s="1"/>
  <c r="H302" i="127"/>
  <c r="L302" i="127"/>
  <c r="U302" i="127" s="1"/>
  <c r="N22" i="127"/>
  <c r="E23" i="127"/>
  <c r="I23" i="127"/>
  <c r="C320" i="127"/>
  <c r="G320" i="127"/>
  <c r="S320" i="127" s="1"/>
  <c r="K320" i="127"/>
  <c r="R38" i="127"/>
  <c r="V38" i="127"/>
  <c r="F321" i="127"/>
  <c r="S321" i="127" s="1"/>
  <c r="J321" i="127"/>
  <c r="N321" i="127"/>
  <c r="E322" i="127"/>
  <c r="I322" i="127"/>
  <c r="T322" i="127" s="1"/>
  <c r="M322" i="127"/>
  <c r="T40" i="127"/>
  <c r="F326" i="127"/>
  <c r="S326" i="127" s="1"/>
  <c r="J326" i="127"/>
  <c r="T326" i="127" s="1"/>
  <c r="N326" i="127"/>
  <c r="E327" i="127"/>
  <c r="I327" i="127"/>
  <c r="T327" i="127" s="1"/>
  <c r="M327" i="127"/>
  <c r="U327" i="127" s="1"/>
  <c r="T45" i="127"/>
  <c r="D328" i="127"/>
  <c r="R328" i="127" s="1"/>
  <c r="L328" i="127"/>
  <c r="F342" i="127"/>
  <c r="S342" i="127" s="1"/>
  <c r="J342" i="127"/>
  <c r="T342" i="127" s="1"/>
  <c r="N342" i="127"/>
  <c r="E343" i="127"/>
  <c r="V343" i="127" s="1"/>
  <c r="I343" i="127"/>
  <c r="T343" i="127" s="1"/>
  <c r="M343" i="127"/>
  <c r="T62" i="127"/>
  <c r="D344" i="127"/>
  <c r="V344" i="127" s="1"/>
  <c r="H344" i="127"/>
  <c r="L344" i="127"/>
  <c r="J65" i="127"/>
  <c r="J346" i="127" s="1"/>
  <c r="N65" i="127"/>
  <c r="N346" i="127" s="1"/>
  <c r="E348" i="127"/>
  <c r="I348" i="127"/>
  <c r="M348" i="127"/>
  <c r="T67" i="127"/>
  <c r="D349" i="127"/>
  <c r="R349" i="127" s="1"/>
  <c r="H349" i="127"/>
  <c r="L349" i="127"/>
  <c r="U349" i="127" s="1"/>
  <c r="C350" i="127"/>
  <c r="G350" i="127"/>
  <c r="S350" i="127" s="1"/>
  <c r="K350" i="127"/>
  <c r="T350" i="127" s="1"/>
  <c r="R69" i="127"/>
  <c r="V69" i="127"/>
  <c r="L292" i="127"/>
  <c r="R81" i="127"/>
  <c r="L92" i="127"/>
  <c r="U92" i="127" s="1"/>
  <c r="F319" i="127"/>
  <c r="S319" i="127" s="1"/>
  <c r="J319" i="127"/>
  <c r="N319" i="127"/>
  <c r="R110" i="127"/>
  <c r="R115" i="127"/>
  <c r="T130" i="127"/>
  <c r="R132" i="127"/>
  <c r="L135" i="127"/>
  <c r="R137" i="127"/>
  <c r="T150" i="127"/>
  <c r="R294" i="127"/>
  <c r="T152" i="127"/>
  <c r="T301" i="127"/>
  <c r="T159" i="127"/>
  <c r="F162" i="127"/>
  <c r="J162" i="127"/>
  <c r="N162" i="127"/>
  <c r="U162" i="127" s="1"/>
  <c r="T314" i="127"/>
  <c r="T172" i="127"/>
  <c r="U315" i="127"/>
  <c r="R178" i="127"/>
  <c r="C205" i="127"/>
  <c r="G205" i="127"/>
  <c r="R192" i="127"/>
  <c r="V192" i="127"/>
  <c r="U336" i="127"/>
  <c r="R337" i="127"/>
  <c r="R196" i="127"/>
  <c r="T201" i="127"/>
  <c r="T209" i="127"/>
  <c r="S233" i="127"/>
  <c r="D252" i="127"/>
  <c r="V249" i="127"/>
  <c r="V326" i="127"/>
  <c r="R44" i="127"/>
  <c r="V44" i="127"/>
  <c r="S327" i="127"/>
  <c r="U45" i="127"/>
  <c r="T46" i="127"/>
  <c r="H333" i="127"/>
  <c r="S52" i="127"/>
  <c r="R334" i="127"/>
  <c r="R53" i="127"/>
  <c r="F335" i="127"/>
  <c r="N335" i="127"/>
  <c r="U54" i="127"/>
  <c r="R342" i="127"/>
  <c r="R61" i="127"/>
  <c r="V61" i="127"/>
  <c r="S343" i="127"/>
  <c r="U62" i="127"/>
  <c r="T344" i="127"/>
  <c r="T63" i="127"/>
  <c r="D64" i="127"/>
  <c r="H64" i="127"/>
  <c r="L64" i="127"/>
  <c r="S348" i="127"/>
  <c r="U67" i="127"/>
  <c r="T68" i="127"/>
  <c r="S69" i="127"/>
  <c r="T80" i="127"/>
  <c r="R90" i="127"/>
  <c r="R99" i="127"/>
  <c r="R319" i="127"/>
  <c r="R107" i="127"/>
  <c r="V107" i="127"/>
  <c r="R116" i="127"/>
  <c r="F341" i="127"/>
  <c r="S341" i="127" s="1"/>
  <c r="U130" i="127"/>
  <c r="R133" i="127"/>
  <c r="R138" i="127"/>
  <c r="U152" i="127"/>
  <c r="U159" i="127"/>
  <c r="T169" i="127"/>
  <c r="R171" i="127"/>
  <c r="U172" i="127"/>
  <c r="T315" i="127"/>
  <c r="T173" i="127"/>
  <c r="R179" i="127"/>
  <c r="R184" i="127"/>
  <c r="D204" i="127"/>
  <c r="H205" i="127"/>
  <c r="H204" i="127"/>
  <c r="L205" i="127"/>
  <c r="U205" i="127" s="1"/>
  <c r="L204" i="127"/>
  <c r="U204" i="127" s="1"/>
  <c r="S192" i="127"/>
  <c r="R193" i="127"/>
  <c r="V193" i="127"/>
  <c r="T336" i="127"/>
  <c r="T195" i="127"/>
  <c r="U337" i="127"/>
  <c r="U202" i="127"/>
  <c r="T203" i="127"/>
  <c r="K204" i="127"/>
  <c r="R208" i="127"/>
  <c r="V296" i="127"/>
  <c r="E252" i="127"/>
  <c r="E251" i="127"/>
  <c r="M252" i="127"/>
  <c r="M251" i="127"/>
  <c r="I251" i="127"/>
  <c r="S255" i="127"/>
  <c r="S240" i="127"/>
  <c r="T255" i="127"/>
  <c r="N312" i="127"/>
  <c r="U255" i="127"/>
  <c r="R201" i="127"/>
  <c r="V207" i="127"/>
  <c r="V208" i="127"/>
  <c r="S209" i="127"/>
  <c r="V220" i="127"/>
  <c r="V229" i="127"/>
  <c r="V301" i="127" s="1"/>
  <c r="R229" i="127"/>
  <c r="V230" i="127"/>
  <c r="V302" i="127" s="1"/>
  <c r="S232" i="127"/>
  <c r="E233" i="127"/>
  <c r="U239" i="127"/>
  <c r="R249" i="127"/>
  <c r="D251" i="127"/>
  <c r="L251" i="127"/>
  <c r="C252" i="127"/>
  <c r="S254" i="127"/>
  <c r="J252" i="127"/>
  <c r="T252" i="127" s="1"/>
  <c r="J251" i="127"/>
  <c r="N251" i="127"/>
  <c r="V255" i="127"/>
  <c r="T241" i="127"/>
  <c r="S271" i="127"/>
  <c r="V272" i="127"/>
  <c r="C275" i="127"/>
  <c r="S277" i="127"/>
  <c r="V262" i="127"/>
  <c r="J274" i="127"/>
  <c r="N274" i="127"/>
  <c r="U278" i="127"/>
  <c r="U263" i="127"/>
  <c r="T278" i="127"/>
  <c r="L252" i="127"/>
  <c r="C251" i="127"/>
  <c r="V239" i="127"/>
  <c r="R239" i="127"/>
  <c r="G251" i="127"/>
  <c r="K251" i="127"/>
  <c r="R254" i="127"/>
  <c r="D275" i="127"/>
  <c r="D346" i="127" s="1"/>
  <c r="U262" i="127"/>
  <c r="G274" i="127"/>
  <c r="V277" i="127"/>
  <c r="T263" i="127"/>
  <c r="R264" i="127"/>
  <c r="R279" i="127"/>
  <c r="R295" i="127"/>
  <c r="T296" i="127"/>
  <c r="R298" i="127"/>
  <c r="R303" i="127"/>
  <c r="R203" i="127"/>
  <c r="T232" i="127"/>
  <c r="M232" i="127"/>
  <c r="M304" i="127" s="1"/>
  <c r="V295" i="127"/>
  <c r="V299" i="127"/>
  <c r="V303" i="127"/>
  <c r="I233" i="127"/>
  <c r="T233" i="127" s="1"/>
  <c r="S241" i="127"/>
  <c r="V242" i="127"/>
  <c r="T249" i="127"/>
  <c r="G252" i="127"/>
  <c r="U254" i="127"/>
  <c r="T240" i="127"/>
  <c r="V256" i="127"/>
  <c r="S263" i="127"/>
  <c r="V265" i="127"/>
  <c r="U279" i="127"/>
  <c r="U264" i="127"/>
  <c r="S279" i="127"/>
  <c r="S294" i="127"/>
  <c r="U295" i="127"/>
  <c r="U303" i="127"/>
  <c r="V338" i="127"/>
  <c r="M351" i="127"/>
  <c r="U351" i="127"/>
  <c r="C233" i="127"/>
  <c r="R242" i="127"/>
  <c r="R255" i="127"/>
  <c r="R272" i="127"/>
  <c r="R277" i="127"/>
  <c r="S316" i="127"/>
  <c r="V317" i="127"/>
  <c r="U338" i="127"/>
  <c r="R339" i="127"/>
  <c r="R207" i="127"/>
  <c r="R220" i="127"/>
  <c r="R230" i="127"/>
  <c r="R256" i="127"/>
  <c r="R265" i="127"/>
  <c r="R278" i="127"/>
  <c r="R317" i="127"/>
  <c r="T339" i="127"/>
  <c r="V351" i="127"/>
  <c r="R318" i="127"/>
  <c r="R338" i="127"/>
  <c r="R351" i="127"/>
  <c r="L143" i="126"/>
  <c r="L531" i="126" s="1"/>
  <c r="T143" i="126"/>
  <c r="T531" i="126" s="1"/>
  <c r="AB143" i="126"/>
  <c r="AB531" i="126" s="1"/>
  <c r="AJ143" i="126"/>
  <c r="AJ531" i="126" s="1"/>
  <c r="AR143" i="126"/>
  <c r="AR531" i="126" s="1"/>
  <c r="I143" i="126"/>
  <c r="I531" i="126" s="1"/>
  <c r="Q143" i="126"/>
  <c r="Q531" i="126" s="1"/>
  <c r="Y143" i="126"/>
  <c r="Y531" i="126" s="1"/>
  <c r="AG143" i="126"/>
  <c r="AG531" i="126" s="1"/>
  <c r="AO143" i="126"/>
  <c r="AO531" i="126" s="1"/>
  <c r="AT2" i="126"/>
  <c r="J143" i="126"/>
  <c r="J531" i="126" s="1"/>
  <c r="N5" i="126"/>
  <c r="R143" i="126"/>
  <c r="R531" i="126" s="1"/>
  <c r="V531" i="126"/>
  <c r="V143" i="126"/>
  <c r="Z143" i="126"/>
  <c r="Z531" i="126" s="1"/>
  <c r="AD531" i="126"/>
  <c r="AD143" i="126"/>
  <c r="AH143" i="126"/>
  <c r="AH531" i="126" s="1"/>
  <c r="AL531" i="126"/>
  <c r="AL143" i="126"/>
  <c r="AP143" i="126"/>
  <c r="AP531" i="126" s="1"/>
  <c r="H531" i="126"/>
  <c r="H143" i="126"/>
  <c r="P143" i="126"/>
  <c r="P531" i="126" s="1"/>
  <c r="X531" i="126"/>
  <c r="X143" i="126"/>
  <c r="AF143" i="126"/>
  <c r="AF531" i="126" s="1"/>
  <c r="AN531" i="126"/>
  <c r="AN143" i="126"/>
  <c r="M143" i="126"/>
  <c r="M531" i="126" s="1"/>
  <c r="U531" i="126"/>
  <c r="U143" i="126"/>
  <c r="AC143" i="126"/>
  <c r="AC531" i="126" s="1"/>
  <c r="AK531" i="126"/>
  <c r="AK143" i="126"/>
  <c r="AS143" i="126"/>
  <c r="AS531" i="126" s="1"/>
  <c r="G531" i="126"/>
  <c r="G143" i="126"/>
  <c r="K143" i="126"/>
  <c r="K531" i="126" s="1"/>
  <c r="O143" i="126"/>
  <c r="S143" i="126"/>
  <c r="S531" i="126" s="1"/>
  <c r="W531" i="126"/>
  <c r="W143" i="126"/>
  <c r="AA143" i="126"/>
  <c r="AA531" i="126" s="1"/>
  <c r="AE143" i="126"/>
  <c r="AI143" i="126"/>
  <c r="AI531" i="126" s="1"/>
  <c r="AM531" i="126"/>
  <c r="AM143" i="126"/>
  <c r="AQ143" i="126"/>
  <c r="AQ531" i="126" s="1"/>
  <c r="N24" i="126"/>
  <c r="AT24" i="126"/>
  <c r="AT125" i="126"/>
  <c r="AT134" i="126" s="1"/>
  <c r="AT144" i="126"/>
  <c r="N194" i="126"/>
  <c r="N272" i="126" s="1"/>
  <c r="Q272" i="126"/>
  <c r="U272" i="126"/>
  <c r="Y272" i="126"/>
  <c r="AC272" i="126"/>
  <c r="AG272" i="126"/>
  <c r="AK272" i="126"/>
  <c r="AO272" i="126"/>
  <c r="AS272" i="126"/>
  <c r="N212" i="126"/>
  <c r="AT209" i="126"/>
  <c r="AT212" i="126" s="1"/>
  <c r="AT352" i="126"/>
  <c r="N208" i="126"/>
  <c r="AT195" i="126"/>
  <c r="AT208" i="126" s="1"/>
  <c r="N222" i="126"/>
  <c r="AT213" i="126"/>
  <c r="AT222" i="126" s="1"/>
  <c r="N229" i="126"/>
  <c r="N245" i="126"/>
  <c r="N259" i="126"/>
  <c r="N414" i="126"/>
  <c r="N226" i="126"/>
  <c r="AT225" i="126"/>
  <c r="AT226" i="126" s="1"/>
  <c r="N247" i="126"/>
  <c r="AT246" i="126"/>
  <c r="AT247" i="126" s="1"/>
  <c r="N271" i="126"/>
  <c r="AT260" i="126"/>
  <c r="AT271" i="126" s="1"/>
  <c r="AT285" i="126"/>
  <c r="AT401" i="126"/>
  <c r="AT413" i="126" s="1"/>
  <c r="N413" i="126"/>
  <c r="AT448" i="126"/>
  <c r="AT503" i="126" s="1"/>
  <c r="AT223" i="126"/>
  <c r="AT224" i="126" s="1"/>
  <c r="AT227" i="126"/>
  <c r="AT229" i="126" s="1"/>
  <c r="AT230" i="126"/>
  <c r="AT245" i="126" s="1"/>
  <c r="AT248" i="126"/>
  <c r="AT259" i="126" s="1"/>
  <c r="AT353" i="126"/>
  <c r="N366" i="126"/>
  <c r="N369" i="126"/>
  <c r="N382" i="126"/>
  <c r="AT370" i="126"/>
  <c r="AT382" i="126" s="1"/>
  <c r="N400" i="126"/>
  <c r="AT399" i="126"/>
  <c r="AT400" i="126" s="1"/>
  <c r="F531" i="126"/>
  <c r="O414" i="126"/>
  <c r="O531" i="126" s="1"/>
  <c r="S414" i="126"/>
  <c r="W414" i="126"/>
  <c r="AA414" i="126"/>
  <c r="AE414" i="126"/>
  <c r="AE531" i="126" s="1"/>
  <c r="AI414" i="126"/>
  <c r="AM414" i="126"/>
  <c r="AQ414" i="126"/>
  <c r="AT472" i="126"/>
  <c r="N385" i="126"/>
  <c r="AT383" i="126"/>
  <c r="AT385" i="126" s="1"/>
  <c r="N398" i="126"/>
  <c r="AT386" i="126"/>
  <c r="AT398" i="126" s="1"/>
  <c r="AT524" i="126"/>
  <c r="AT525" i="126" s="1"/>
  <c r="AT528" i="126"/>
  <c r="AT529" i="126" s="1"/>
  <c r="N530" i="126"/>
  <c r="AT522" i="126"/>
  <c r="AT526" i="126"/>
  <c r="AT527" i="126" s="1"/>
  <c r="C323" i="127" l="1"/>
  <c r="U312" i="127"/>
  <c r="F252" i="127"/>
  <c r="F251" i="127"/>
  <c r="S251" i="127" s="1"/>
  <c r="S239" i="127"/>
  <c r="U64" i="127"/>
  <c r="R181" i="127"/>
  <c r="U335" i="127"/>
  <c r="V263" i="127"/>
  <c r="S344" i="127"/>
  <c r="V322" i="127"/>
  <c r="R322" i="127"/>
  <c r="F334" i="127"/>
  <c r="S334" i="127" s="1"/>
  <c r="S53" i="127"/>
  <c r="T204" i="127"/>
  <c r="K333" i="127"/>
  <c r="K65" i="127"/>
  <c r="K346" i="127" s="1"/>
  <c r="K64" i="127"/>
  <c r="T52" i="127"/>
  <c r="D311" i="127"/>
  <c r="D41" i="127"/>
  <c r="D323" i="127" s="1"/>
  <c r="D42" i="127"/>
  <c r="D324" i="127" s="1"/>
  <c r="R29" i="127"/>
  <c r="F304" i="127"/>
  <c r="S22" i="127"/>
  <c r="R233" i="127"/>
  <c r="L275" i="127"/>
  <c r="V319" i="127"/>
  <c r="V337" i="127"/>
  <c r="U328" i="127"/>
  <c r="V349" i="127"/>
  <c r="I324" i="127"/>
  <c r="S135" i="127"/>
  <c r="F313" i="127"/>
  <c r="S31" i="127"/>
  <c r="F41" i="127"/>
  <c r="R348" i="127"/>
  <c r="V348" i="127"/>
  <c r="K312" i="127"/>
  <c r="T312" i="127" s="1"/>
  <c r="K41" i="127"/>
  <c r="K323" i="127" s="1"/>
  <c r="I275" i="127"/>
  <c r="T275" i="127" s="1"/>
  <c r="I274" i="127"/>
  <c r="T274" i="127" s="1"/>
  <c r="T262" i="127"/>
  <c r="F274" i="127"/>
  <c r="F275" i="127"/>
  <c r="S275" i="127" s="1"/>
  <c r="S262" i="127"/>
  <c r="V350" i="127"/>
  <c r="R350" i="127"/>
  <c r="S182" i="127"/>
  <c r="V162" i="127"/>
  <c r="V163" i="127"/>
  <c r="I323" i="127"/>
  <c r="T41" i="127"/>
  <c r="V233" i="127"/>
  <c r="V292" i="127"/>
  <c r="V232" i="127"/>
  <c r="L274" i="127"/>
  <c r="V320" i="127"/>
  <c r="R320" i="127"/>
  <c r="V328" i="127"/>
  <c r="L182" i="127"/>
  <c r="U182" i="127" s="1"/>
  <c r="L181" i="127"/>
  <c r="U181" i="127" s="1"/>
  <c r="U169" i="127"/>
  <c r="R182" i="127"/>
  <c r="C304" i="127"/>
  <c r="R304" i="127" s="1"/>
  <c r="R22" i="127"/>
  <c r="T205" i="127"/>
  <c r="L334" i="127"/>
  <c r="U334" i="127" s="1"/>
  <c r="K305" i="127"/>
  <c r="S292" i="127"/>
  <c r="C305" i="127"/>
  <c r="R275" i="127"/>
  <c r="R252" i="127"/>
  <c r="V240" i="127"/>
  <c r="V99" i="127"/>
  <c r="D345" i="127"/>
  <c r="V342" i="127"/>
  <c r="V53" i="127"/>
  <c r="S162" i="127"/>
  <c r="T348" i="127"/>
  <c r="F65" i="127"/>
  <c r="I305" i="127"/>
  <c r="T23" i="127"/>
  <c r="T293" i="127"/>
  <c r="J345" i="127"/>
  <c r="R344" i="127"/>
  <c r="F333" i="127"/>
  <c r="V204" i="127"/>
  <c r="R204" i="127"/>
  <c r="V314" i="127"/>
  <c r="I346" i="127"/>
  <c r="T346" i="127" s="1"/>
  <c r="T65" i="127"/>
  <c r="J323" i="127"/>
  <c r="L313" i="127"/>
  <c r="U313" i="127" s="1"/>
  <c r="V29" i="127"/>
  <c r="C42" i="127"/>
  <c r="S302" i="127"/>
  <c r="U232" i="127"/>
  <c r="H346" i="127"/>
  <c r="V123" i="127"/>
  <c r="G335" i="127"/>
  <c r="S335" i="127" s="1"/>
  <c r="M65" i="127"/>
  <c r="R321" i="127"/>
  <c r="H305" i="127"/>
  <c r="H252" i="127"/>
  <c r="V252" i="127" s="1"/>
  <c r="S349" i="127"/>
  <c r="M324" i="127"/>
  <c r="R163" i="127"/>
  <c r="G333" i="127"/>
  <c r="G65" i="127"/>
  <c r="G346" i="127" s="1"/>
  <c r="G64" i="127"/>
  <c r="G345" i="127" s="1"/>
  <c r="V327" i="127"/>
  <c r="R327" i="127"/>
  <c r="H311" i="127"/>
  <c r="S311" i="127" s="1"/>
  <c r="H41" i="127"/>
  <c r="H323" i="127" s="1"/>
  <c r="H42" i="127"/>
  <c r="H324" i="127" s="1"/>
  <c r="J42" i="127"/>
  <c r="J324" i="127" s="1"/>
  <c r="F305" i="127"/>
  <c r="S305" i="127" s="1"/>
  <c r="S23" i="127"/>
  <c r="J304" i="127"/>
  <c r="N304" i="127"/>
  <c r="S205" i="127"/>
  <c r="F112" i="127"/>
  <c r="F111" i="127"/>
  <c r="S111" i="127" s="1"/>
  <c r="S99" i="127"/>
  <c r="L111" i="127"/>
  <c r="U111" i="127" s="1"/>
  <c r="F324" i="127"/>
  <c r="S42" i="127"/>
  <c r="R111" i="127"/>
  <c r="G324" i="127"/>
  <c r="C333" i="127"/>
  <c r="C65" i="127"/>
  <c r="C64" i="127"/>
  <c r="V52" i="127"/>
  <c r="R52" i="127"/>
  <c r="U304" i="127"/>
  <c r="R23" i="127"/>
  <c r="V264" i="127"/>
  <c r="V251" i="127"/>
  <c r="R251" i="127"/>
  <c r="N252" i="127"/>
  <c r="U252" i="127" s="1"/>
  <c r="T251" i="127"/>
  <c r="H345" i="127"/>
  <c r="N345" i="127"/>
  <c r="M135" i="127"/>
  <c r="U135" i="127" s="1"/>
  <c r="M134" i="127"/>
  <c r="M345" i="127" s="1"/>
  <c r="C312" i="127"/>
  <c r="V30" i="127"/>
  <c r="R30" i="127"/>
  <c r="G304" i="127"/>
  <c r="N323" i="127"/>
  <c r="U251" i="127"/>
  <c r="U240" i="127"/>
  <c r="V205" i="127"/>
  <c r="R205" i="127"/>
  <c r="U292" i="127"/>
  <c r="U344" i="127"/>
  <c r="E305" i="127"/>
  <c r="V93" i="127"/>
  <c r="V92" i="127"/>
  <c r="F64" i="127"/>
  <c r="R311" i="127"/>
  <c r="T134" i="127"/>
  <c r="V341" i="127"/>
  <c r="V135" i="127"/>
  <c r="V101" i="127"/>
  <c r="I333" i="127"/>
  <c r="T333" i="127" s="1"/>
  <c r="E323" i="127"/>
  <c r="N324" i="127"/>
  <c r="J305" i="127"/>
  <c r="V22" i="127"/>
  <c r="V23" i="127"/>
  <c r="S134" i="127"/>
  <c r="L112" i="127"/>
  <c r="U112" i="127" s="1"/>
  <c r="E335" i="127"/>
  <c r="V335" i="127" s="1"/>
  <c r="V54" i="127"/>
  <c r="R54" i="127"/>
  <c r="L305" i="127"/>
  <c r="U305" i="127" s="1"/>
  <c r="U23" i="127"/>
  <c r="U122" i="127"/>
  <c r="L346" i="127"/>
  <c r="U65" i="127"/>
  <c r="M333" i="127"/>
  <c r="U333" i="127" s="1"/>
  <c r="F312" i="127"/>
  <c r="S312" i="127" s="1"/>
  <c r="I304" i="127"/>
  <c r="T304" i="127" s="1"/>
  <c r="T22" i="127"/>
  <c r="V122" i="127"/>
  <c r="I345" i="127"/>
  <c r="K42" i="127"/>
  <c r="K324" i="127" s="1"/>
  <c r="E64" i="127"/>
  <c r="E345" i="127" s="1"/>
  <c r="G312" i="127"/>
  <c r="G41" i="127"/>
  <c r="G323" i="127" s="1"/>
  <c r="S30" i="127"/>
  <c r="L311" i="127"/>
  <c r="U311" i="127" s="1"/>
  <c r="L42" i="127"/>
  <c r="L41" i="127"/>
  <c r="U29" i="127"/>
  <c r="E324" i="127"/>
  <c r="V31" i="127"/>
  <c r="U22" i="127"/>
  <c r="M275" i="127"/>
  <c r="V275" i="127" s="1"/>
  <c r="M274" i="127"/>
  <c r="F181" i="127"/>
  <c r="S181" i="127" s="1"/>
  <c r="AT523" i="126"/>
  <c r="AT530" i="126"/>
  <c r="AT194" i="126"/>
  <c r="AT272" i="126"/>
  <c r="N143" i="126"/>
  <c r="N531" i="126" s="1"/>
  <c r="AT366" i="126"/>
  <c r="AT414" i="126" s="1"/>
  <c r="AT143" i="126"/>
  <c r="AT531" i="126" s="1"/>
  <c r="AT5" i="126"/>
  <c r="L323" i="127" l="1"/>
  <c r="U323" i="127" s="1"/>
  <c r="U41" i="127"/>
  <c r="T345" i="127"/>
  <c r="F345" i="127"/>
  <c r="S345" i="127" s="1"/>
  <c r="S64" i="127"/>
  <c r="C345" i="127"/>
  <c r="V64" i="127"/>
  <c r="R64" i="127"/>
  <c r="M346" i="127"/>
  <c r="T305" i="127"/>
  <c r="R335" i="127"/>
  <c r="T324" i="127"/>
  <c r="S252" i="127"/>
  <c r="V134" i="127"/>
  <c r="L324" i="127"/>
  <c r="U324" i="127" s="1"/>
  <c r="U42" i="127"/>
  <c r="C346" i="127"/>
  <c r="V65" i="127"/>
  <c r="R65" i="127"/>
  <c r="V111" i="127"/>
  <c r="F346" i="127"/>
  <c r="S346" i="127" s="1"/>
  <c r="S65" i="127"/>
  <c r="U134" i="127"/>
  <c r="U274" i="127"/>
  <c r="S313" i="127"/>
  <c r="V313" i="127"/>
  <c r="S304" i="127"/>
  <c r="L345" i="127"/>
  <c r="U345" i="127" s="1"/>
  <c r="V334" i="127"/>
  <c r="V41" i="127"/>
  <c r="R312" i="127"/>
  <c r="V312" i="127"/>
  <c r="R333" i="127"/>
  <c r="V333" i="127"/>
  <c r="C324" i="127"/>
  <c r="V42" i="127"/>
  <c r="R42" i="127"/>
  <c r="R305" i="127"/>
  <c r="V182" i="127"/>
  <c r="T323" i="127"/>
  <c r="U275" i="127"/>
  <c r="R41" i="127"/>
  <c r="U346" i="127"/>
  <c r="V311" i="127"/>
  <c r="S324" i="127"/>
  <c r="S112" i="127"/>
  <c r="V112" i="127"/>
  <c r="S333" i="127"/>
  <c r="V305" i="127"/>
  <c r="V304" i="127"/>
  <c r="S274" i="127"/>
  <c r="V274" i="127"/>
  <c r="F323" i="127"/>
  <c r="S323" i="127" s="1"/>
  <c r="S41" i="127"/>
  <c r="T42" i="127"/>
  <c r="K345" i="127"/>
  <c r="T64" i="127"/>
  <c r="V181" i="127"/>
  <c r="R323" i="127"/>
  <c r="V323" i="127"/>
  <c r="R324" i="127" l="1"/>
  <c r="V324" i="127"/>
  <c r="V345" i="127"/>
  <c r="R345" i="127"/>
  <c r="V346" i="127"/>
  <c r="R346" i="127"/>
  <c r="B180" i="73" l="1"/>
  <c r="B182" i="73" s="1"/>
  <c r="E178" i="73"/>
  <c r="E177" i="73"/>
  <c r="E176" i="73"/>
  <c r="E175" i="73"/>
  <c r="E174" i="73"/>
  <c r="E173" i="73"/>
  <c r="B168" i="73"/>
  <c r="E166" i="73"/>
  <c r="E165" i="73"/>
  <c r="E164" i="73"/>
  <c r="E163" i="73"/>
  <c r="E162" i="73"/>
  <c r="E161" i="73"/>
  <c r="E160" i="73"/>
  <c r="B155" i="73"/>
  <c r="E153" i="73"/>
  <c r="E152" i="73"/>
  <c r="E151" i="73"/>
  <c r="B139" i="73"/>
  <c r="E137" i="73"/>
  <c r="E136" i="73"/>
  <c r="E135" i="73"/>
  <c r="E134" i="73"/>
  <c r="E133" i="73"/>
  <c r="E132" i="73"/>
  <c r="B127" i="73"/>
  <c r="E125" i="73"/>
  <c r="E124" i="73"/>
  <c r="E123" i="73"/>
  <c r="E122" i="73"/>
  <c r="E121" i="73"/>
  <c r="E120" i="73"/>
  <c r="E119" i="73"/>
  <c r="B114" i="73"/>
  <c r="B142" i="73" s="1"/>
  <c r="E112" i="73"/>
  <c r="E111" i="73"/>
  <c r="E110" i="73"/>
  <c r="J18" i="73" l="1"/>
  <c r="H46" i="73" l="1"/>
  <c r="H32" i="73" l="1"/>
  <c r="K110" i="73" l="1"/>
  <c r="K111" i="73"/>
  <c r="K112" i="73"/>
  <c r="H114" i="73"/>
  <c r="K119" i="73"/>
  <c r="K120" i="73"/>
  <c r="K121" i="73"/>
  <c r="K122" i="73"/>
  <c r="K123" i="73"/>
  <c r="K124" i="73"/>
  <c r="K125" i="73"/>
  <c r="H127" i="73"/>
  <c r="K132" i="73"/>
  <c r="K133" i="73"/>
  <c r="K134" i="73"/>
  <c r="K135" i="73"/>
  <c r="K136" i="73"/>
  <c r="K137" i="73"/>
  <c r="H139" i="73"/>
  <c r="H142" i="73" l="1"/>
  <c r="H191" i="73" l="1"/>
  <c r="K151" i="73" l="1"/>
  <c r="K152" i="73"/>
  <c r="K153" i="73"/>
  <c r="H155" i="73"/>
  <c r="K160" i="73"/>
  <c r="K161" i="73"/>
  <c r="K162" i="73"/>
  <c r="K163" i="73"/>
  <c r="K164" i="73"/>
  <c r="K165" i="73"/>
  <c r="K166" i="73"/>
  <c r="H168" i="73"/>
  <c r="K173" i="73"/>
  <c r="K174" i="73"/>
  <c r="K175" i="73"/>
  <c r="K176" i="73"/>
  <c r="K177" i="73"/>
  <c r="K178" i="73"/>
  <c r="H180" i="73"/>
  <c r="H182" i="73" l="1"/>
  <c r="H218" i="73" l="1"/>
  <c r="H217" i="73"/>
  <c r="H216" i="73"/>
  <c r="H215" i="73"/>
  <c r="H214" i="73"/>
  <c r="H213" i="73"/>
  <c r="H212" i="73"/>
  <c r="H206" i="73"/>
  <c r="H205" i="73"/>
  <c r="H204" i="73"/>
  <c r="H203" i="73"/>
  <c r="H202" i="73"/>
  <c r="H201" i="73"/>
  <c r="H200" i="73"/>
  <c r="H199" i="73"/>
  <c r="H193" i="73"/>
  <c r="H192" i="73"/>
  <c r="H190" i="73"/>
  <c r="H98" i="73"/>
  <c r="K96" i="73"/>
  <c r="K95" i="73"/>
  <c r="K94" i="73"/>
  <c r="K93" i="73"/>
  <c r="K92" i="73"/>
  <c r="K91" i="73"/>
  <c r="H86" i="73"/>
  <c r="K84" i="73"/>
  <c r="K83" i="73"/>
  <c r="K82" i="73"/>
  <c r="K81" i="73"/>
  <c r="K80" i="73"/>
  <c r="K79" i="73"/>
  <c r="K78" i="73"/>
  <c r="H73" i="73"/>
  <c r="K71" i="73"/>
  <c r="K70" i="73"/>
  <c r="K69" i="73"/>
  <c r="H58" i="73"/>
  <c r="K56" i="73"/>
  <c r="K55" i="73"/>
  <c r="K54" i="73"/>
  <c r="K53" i="73"/>
  <c r="K52" i="73"/>
  <c r="K51" i="73"/>
  <c r="K43" i="73"/>
  <c r="K42" i="73"/>
  <c r="K41" i="73"/>
  <c r="K40" i="73"/>
  <c r="K39" i="73"/>
  <c r="K38" i="73"/>
  <c r="K37" i="73"/>
  <c r="K30" i="73"/>
  <c r="K29" i="73"/>
  <c r="K28" i="73"/>
  <c r="H195" i="73" l="1"/>
  <c r="H220" i="73"/>
  <c r="H101" i="73"/>
  <c r="H208" i="73"/>
  <c r="H60" i="73"/>
  <c r="H222" i="73" l="1"/>
  <c r="C174" i="73" l="1"/>
  <c r="D174" i="73" s="1"/>
  <c r="C153" i="73"/>
  <c r="D153" i="73" s="1"/>
  <c r="C110" i="73"/>
  <c r="D110" i="73" s="1"/>
  <c r="C111" i="73"/>
  <c r="D111" i="73" s="1"/>
  <c r="C135" i="73"/>
  <c r="D135" i="73" s="1"/>
  <c r="C175" i="73"/>
  <c r="D175" i="73" s="1"/>
  <c r="C136" i="73"/>
  <c r="D136" i="73" s="1"/>
  <c r="C173" i="73"/>
  <c r="D173" i="73" s="1"/>
  <c r="C176" i="73"/>
  <c r="D176" i="73" s="1"/>
  <c r="C121" i="73"/>
  <c r="D121" i="73" s="1"/>
  <c r="C124" i="73"/>
  <c r="D124" i="73" s="1"/>
  <c r="C164" i="73"/>
  <c r="D164" i="73" s="1"/>
  <c r="C122" i="73"/>
  <c r="D122" i="73" s="1"/>
  <c r="C150" i="73"/>
  <c r="C118" i="73"/>
  <c r="C177" i="73"/>
  <c r="D177" i="73" s="1"/>
  <c r="C120" i="73"/>
  <c r="D120" i="73" s="1"/>
  <c r="C137" i="73"/>
  <c r="D137" i="73" s="1"/>
  <c r="C172" i="73"/>
  <c r="C133" i="73"/>
  <c r="D133" i="73" s="1"/>
  <c r="C109" i="73"/>
  <c r="C178" i="73"/>
  <c r="D178" i="73" s="1"/>
  <c r="C131" i="73"/>
  <c r="C165" i="73"/>
  <c r="D165" i="73" s="1"/>
  <c r="C134" i="73"/>
  <c r="D134" i="73" s="1"/>
  <c r="C163" i="73"/>
  <c r="D163" i="73" s="1"/>
  <c r="C166" i="73"/>
  <c r="D166" i="73" s="1"/>
  <c r="C112" i="73"/>
  <c r="D112" i="73" s="1"/>
  <c r="C162" i="73"/>
  <c r="D162" i="73" s="1"/>
  <c r="C125" i="73"/>
  <c r="D125" i="73" s="1"/>
  <c r="C119" i="73"/>
  <c r="D119" i="73" s="1"/>
  <c r="C159" i="73"/>
  <c r="C161" i="73"/>
  <c r="D161" i="73" s="1"/>
  <c r="C160" i="73"/>
  <c r="D160" i="73" s="1"/>
  <c r="C123" i="73"/>
  <c r="D123" i="73" s="1"/>
  <c r="C152" i="73"/>
  <c r="D152" i="73" s="1"/>
  <c r="C151" i="73"/>
  <c r="D151" i="73" s="1"/>
  <c r="C132" i="73"/>
  <c r="D132" i="73" s="1"/>
  <c r="I27" i="73"/>
  <c r="J27" i="73" s="1"/>
  <c r="I56" i="73"/>
  <c r="J56" i="73" s="1"/>
  <c r="I28" i="73"/>
  <c r="I121" i="73"/>
  <c r="J121" i="73" s="1"/>
  <c r="I123" i="73"/>
  <c r="J123" i="73" s="1"/>
  <c r="I131" i="73"/>
  <c r="I133" i="73"/>
  <c r="J133" i="73" s="1"/>
  <c r="I118" i="73"/>
  <c r="J118" i="73" s="1"/>
  <c r="I125" i="73"/>
  <c r="J125" i="73" s="1"/>
  <c r="I135" i="73"/>
  <c r="J135" i="73" s="1"/>
  <c r="I137" i="73"/>
  <c r="J137" i="73" s="1"/>
  <c r="I122" i="73"/>
  <c r="J122" i="73" s="1"/>
  <c r="I111" i="73"/>
  <c r="J111" i="73" s="1"/>
  <c r="I110" i="73"/>
  <c r="J110" i="73" s="1"/>
  <c r="I112" i="73"/>
  <c r="J112" i="73" s="1"/>
  <c r="I120" i="73"/>
  <c r="J120" i="73" s="1"/>
  <c r="O120" i="73" s="1"/>
  <c r="I132" i="73"/>
  <c r="J132" i="73" s="1"/>
  <c r="I134" i="73"/>
  <c r="J134" i="73" s="1"/>
  <c r="I109" i="73"/>
  <c r="I119" i="73"/>
  <c r="I124" i="73"/>
  <c r="J124" i="73" s="1"/>
  <c r="I136" i="73"/>
  <c r="J136" i="73" s="1"/>
  <c r="I161" i="73"/>
  <c r="J161" i="73" s="1"/>
  <c r="I165" i="73"/>
  <c r="J165" i="73" s="1"/>
  <c r="I174" i="73"/>
  <c r="J174" i="73" s="1"/>
  <c r="I178" i="73"/>
  <c r="J178" i="73" s="1"/>
  <c r="I150" i="73"/>
  <c r="I159" i="73"/>
  <c r="I172" i="73"/>
  <c r="N172" i="73" s="1"/>
  <c r="I151" i="73"/>
  <c r="J151" i="73" s="1"/>
  <c r="I160" i="73"/>
  <c r="J160" i="73" s="1"/>
  <c r="I164" i="73"/>
  <c r="J164" i="73" s="1"/>
  <c r="I173" i="73"/>
  <c r="J173" i="73" s="1"/>
  <c r="I177" i="73"/>
  <c r="J177" i="73" s="1"/>
  <c r="I152" i="73"/>
  <c r="J152" i="73" s="1"/>
  <c r="I163" i="73"/>
  <c r="J163" i="73" s="1"/>
  <c r="I176" i="73"/>
  <c r="J176" i="73" s="1"/>
  <c r="I153" i="73"/>
  <c r="J153" i="73" s="1"/>
  <c r="I162" i="73"/>
  <c r="J162" i="73" s="1"/>
  <c r="I166" i="73"/>
  <c r="J166" i="73" s="1"/>
  <c r="I175" i="73"/>
  <c r="J175" i="73" s="1"/>
  <c r="I55" i="73"/>
  <c r="I83" i="73"/>
  <c r="J83" i="73" s="1"/>
  <c r="O83" i="73" s="1"/>
  <c r="I30" i="73"/>
  <c r="J30" i="73" s="1"/>
  <c r="I37" i="73"/>
  <c r="I77" i="73"/>
  <c r="J77" i="73" s="1"/>
  <c r="I94" i="73"/>
  <c r="J94" i="73" s="1"/>
  <c r="O94" i="73" s="1"/>
  <c r="I78" i="73"/>
  <c r="J78" i="73" s="1"/>
  <c r="O78" i="73" s="1"/>
  <c r="I36" i="73"/>
  <c r="I80" i="73"/>
  <c r="N80" i="73" s="1"/>
  <c r="I41" i="73"/>
  <c r="J41" i="73" s="1"/>
  <c r="I51" i="73"/>
  <c r="J51" i="73" s="1"/>
  <c r="I52" i="73"/>
  <c r="I71" i="73"/>
  <c r="J71" i="73" s="1"/>
  <c r="O71" i="73" s="1"/>
  <c r="I42" i="73"/>
  <c r="I50" i="73"/>
  <c r="J50" i="73" s="1"/>
  <c r="I29" i="73"/>
  <c r="J29" i="73" s="1"/>
  <c r="I54" i="73"/>
  <c r="J54" i="73" s="1"/>
  <c r="I39" i="73"/>
  <c r="J39" i="73" s="1"/>
  <c r="I90" i="73"/>
  <c r="N90" i="73" s="1"/>
  <c r="I68" i="73"/>
  <c r="J68" i="73" s="1"/>
  <c r="I43" i="73"/>
  <c r="J43" i="73" s="1"/>
  <c r="I81" i="73"/>
  <c r="N81" i="73" s="1"/>
  <c r="I79" i="73"/>
  <c r="J79" i="73" s="1"/>
  <c r="O79" i="73" s="1"/>
  <c r="I92" i="73"/>
  <c r="J92" i="73" s="1"/>
  <c r="O92" i="73" s="1"/>
  <c r="I70" i="73"/>
  <c r="J70" i="73" s="1"/>
  <c r="O70" i="73" s="1"/>
  <c r="I40" i="73"/>
  <c r="J40" i="73" s="1"/>
  <c r="I84" i="73"/>
  <c r="N84" i="73" s="1"/>
  <c r="I93" i="73"/>
  <c r="N93" i="73" s="1"/>
  <c r="I82" i="73"/>
  <c r="N82" i="73" s="1"/>
  <c r="I53" i="73"/>
  <c r="I91" i="73"/>
  <c r="J91" i="73" s="1"/>
  <c r="O91" i="73" s="1"/>
  <c r="I38" i="73"/>
  <c r="I69" i="73"/>
  <c r="N69" i="73" s="1"/>
  <c r="I95" i="73"/>
  <c r="I96" i="73"/>
  <c r="J96" i="73" s="1"/>
  <c r="O96" i="73" s="1"/>
  <c r="O135" i="73" l="1"/>
  <c r="N119" i="73"/>
  <c r="O111" i="73"/>
  <c r="C139" i="73"/>
  <c r="D131" i="73"/>
  <c r="D139" i="73" s="1"/>
  <c r="C180" i="73"/>
  <c r="D172" i="73"/>
  <c r="D180" i="73" s="1"/>
  <c r="D118" i="73"/>
  <c r="D127" i="73" s="1"/>
  <c r="C127" i="73"/>
  <c r="C155" i="73"/>
  <c r="D150" i="73"/>
  <c r="D155" i="73" s="1"/>
  <c r="D159" i="73"/>
  <c r="D168" i="73" s="1"/>
  <c r="C168" i="73"/>
  <c r="D109" i="73"/>
  <c r="D114" i="73" s="1"/>
  <c r="C114" i="73"/>
  <c r="N133" i="73"/>
  <c r="N137" i="73"/>
  <c r="N136" i="73"/>
  <c r="N112" i="73"/>
  <c r="N177" i="73"/>
  <c r="N134" i="73"/>
  <c r="N125" i="73"/>
  <c r="N123" i="73"/>
  <c r="N132" i="73"/>
  <c r="N122" i="73"/>
  <c r="N121" i="73"/>
  <c r="N110" i="73"/>
  <c r="I139" i="73"/>
  <c r="J131" i="73"/>
  <c r="J139" i="73" s="1"/>
  <c r="I127" i="73"/>
  <c r="J119" i="73"/>
  <c r="J127" i="73" s="1"/>
  <c r="J109" i="73"/>
  <c r="J114" i="73" s="1"/>
  <c r="I114" i="73"/>
  <c r="N163" i="73"/>
  <c r="N175" i="73"/>
  <c r="N173" i="73"/>
  <c r="N160" i="73"/>
  <c r="N166" i="73"/>
  <c r="J172" i="73"/>
  <c r="J180" i="73" s="1"/>
  <c r="I180" i="73"/>
  <c r="J159" i="73"/>
  <c r="I168" i="73"/>
  <c r="N151" i="73"/>
  <c r="J150" i="73"/>
  <c r="J155" i="73" s="1"/>
  <c r="I155" i="73"/>
  <c r="N52" i="73"/>
  <c r="O39" i="73"/>
  <c r="O40" i="73"/>
  <c r="O56" i="73"/>
  <c r="O51" i="73"/>
  <c r="O43" i="73"/>
  <c r="N55" i="73"/>
  <c r="O41" i="73"/>
  <c r="N38" i="73"/>
  <c r="N42" i="73"/>
  <c r="N36" i="73"/>
  <c r="N37" i="73"/>
  <c r="O54" i="73"/>
  <c r="O151" i="73"/>
  <c r="J28" i="73"/>
  <c r="O28" i="73" s="1"/>
  <c r="N28" i="73"/>
  <c r="O29" i="73"/>
  <c r="N124" i="73"/>
  <c r="O124" i="73"/>
  <c r="N30" i="73"/>
  <c r="O30" i="73"/>
  <c r="O160" i="73"/>
  <c r="O166" i="73"/>
  <c r="J55" i="73"/>
  <c r="O55" i="73" s="1"/>
  <c r="N71" i="73"/>
  <c r="N109" i="73"/>
  <c r="J80" i="73"/>
  <c r="O80" i="73" s="1"/>
  <c r="N54" i="73"/>
  <c r="O110" i="73"/>
  <c r="N94" i="73"/>
  <c r="N41" i="73"/>
  <c r="J36" i="73"/>
  <c r="N111" i="73"/>
  <c r="N56" i="73"/>
  <c r="O137" i="73"/>
  <c r="N77" i="73"/>
  <c r="J42" i="73"/>
  <c r="O42" i="73" s="1"/>
  <c r="N92" i="73"/>
  <c r="N50" i="73"/>
  <c r="N51" i="73"/>
  <c r="N83" i="73"/>
  <c r="J37" i="73"/>
  <c r="O37" i="73" s="1"/>
  <c r="N39" i="73"/>
  <c r="N159" i="73"/>
  <c r="N178" i="73"/>
  <c r="O125" i="73"/>
  <c r="N91" i="73"/>
  <c r="N174" i="73"/>
  <c r="N79" i="73"/>
  <c r="I58" i="73"/>
  <c r="N43" i="73"/>
  <c r="N70" i="73"/>
  <c r="N68" i="73"/>
  <c r="O122" i="73"/>
  <c r="J93" i="73"/>
  <c r="O93" i="73" s="1"/>
  <c r="I199" i="73"/>
  <c r="N199" i="73" s="1"/>
  <c r="O134" i="73"/>
  <c r="I32" i="73"/>
  <c r="I193" i="73"/>
  <c r="N193" i="73" s="1"/>
  <c r="O177" i="73"/>
  <c r="N78" i="73"/>
  <c r="J90" i="73"/>
  <c r="O90" i="73" s="1"/>
  <c r="I212" i="73"/>
  <c r="O112" i="73"/>
  <c r="N150" i="73"/>
  <c r="I200" i="73"/>
  <c r="N200" i="73" s="1"/>
  <c r="I202" i="73"/>
  <c r="N202" i="73" s="1"/>
  <c r="N153" i="73"/>
  <c r="O121" i="73"/>
  <c r="I73" i="73"/>
  <c r="N131" i="73"/>
  <c r="N162" i="73"/>
  <c r="J69" i="73"/>
  <c r="O69" i="73" s="1"/>
  <c r="J52" i="73"/>
  <c r="O52" i="73" s="1"/>
  <c r="N29" i="73"/>
  <c r="J38" i="73"/>
  <c r="O38" i="73" s="1"/>
  <c r="I201" i="73"/>
  <c r="N201" i="73" s="1"/>
  <c r="N135" i="73"/>
  <c r="O161" i="73"/>
  <c r="I214" i="73"/>
  <c r="N214" i="73" s="1"/>
  <c r="O133" i="73"/>
  <c r="J81" i="73"/>
  <c r="O81" i="73" s="1"/>
  <c r="N161" i="73"/>
  <c r="N164" i="73"/>
  <c r="I216" i="73"/>
  <c r="N216" i="73" s="1"/>
  <c r="I98" i="73"/>
  <c r="O173" i="73"/>
  <c r="O163" i="73"/>
  <c r="I218" i="73"/>
  <c r="N218" i="73" s="1"/>
  <c r="N27" i="73"/>
  <c r="I190" i="73"/>
  <c r="N190" i="73" s="1"/>
  <c r="O132" i="73"/>
  <c r="I206" i="73"/>
  <c r="N206" i="73" s="1"/>
  <c r="I86" i="73"/>
  <c r="J53" i="73"/>
  <c r="O53" i="73" s="1"/>
  <c r="J84" i="73"/>
  <c r="O84" i="73" s="1"/>
  <c r="N95" i="73"/>
  <c r="I192" i="73"/>
  <c r="N192" i="73" s="1"/>
  <c r="N53" i="73"/>
  <c r="O136" i="73"/>
  <c r="I205" i="73"/>
  <c r="N205" i="73" s="1"/>
  <c r="N40" i="73"/>
  <c r="I46" i="73"/>
  <c r="I217" i="73"/>
  <c r="K217" i="73" s="1"/>
  <c r="J82" i="73"/>
  <c r="O82" i="73" s="1"/>
  <c r="N96" i="73"/>
  <c r="J95" i="73"/>
  <c r="O95" i="73" s="1"/>
  <c r="N118" i="73"/>
  <c r="N165" i="73"/>
  <c r="I203" i="73"/>
  <c r="N203" i="73" s="1"/>
  <c r="I191" i="73"/>
  <c r="N191" i="73" s="1"/>
  <c r="N152" i="73"/>
  <c r="N176" i="73"/>
  <c r="I215" i="73"/>
  <c r="N215" i="73" s="1"/>
  <c r="I204" i="73"/>
  <c r="N204" i="73" s="1"/>
  <c r="O123" i="73"/>
  <c r="J216" i="73"/>
  <c r="O216" i="73" s="1"/>
  <c r="I213" i="73"/>
  <c r="N213" i="73" s="1"/>
  <c r="N120" i="73"/>
  <c r="O164" i="73"/>
  <c r="O77" i="73"/>
  <c r="O162" i="73"/>
  <c r="O68" i="73"/>
  <c r="O165" i="73"/>
  <c r="O174" i="73"/>
  <c r="J192" i="73"/>
  <c r="O192" i="73" s="1"/>
  <c r="O152" i="73"/>
  <c r="O178" i="73"/>
  <c r="O153" i="73"/>
  <c r="O159" i="73" l="1"/>
  <c r="O168" i="73" s="1"/>
  <c r="C182" i="73"/>
  <c r="D142" i="73"/>
  <c r="C142" i="73"/>
  <c r="D182" i="73"/>
  <c r="N212" i="73"/>
  <c r="O119" i="73"/>
  <c r="O131" i="73"/>
  <c r="O139" i="73" s="1"/>
  <c r="O109" i="73"/>
  <c r="O114" i="73" s="1"/>
  <c r="I142" i="73"/>
  <c r="J142" i="73"/>
  <c r="J168" i="73"/>
  <c r="J182" i="73" s="1"/>
  <c r="I182" i="73"/>
  <c r="O50" i="73"/>
  <c r="O58" i="73" s="1"/>
  <c r="J32" i="73"/>
  <c r="I60" i="73"/>
  <c r="J73" i="73"/>
  <c r="O36" i="73"/>
  <c r="O46" i="73" s="1"/>
  <c r="J46" i="73"/>
  <c r="J86" i="73"/>
  <c r="O172" i="73"/>
  <c r="J193" i="73"/>
  <c r="O193" i="73" s="1"/>
  <c r="J191" i="73"/>
  <c r="O191" i="73" s="1"/>
  <c r="O27" i="73"/>
  <c r="O32" i="73" s="1"/>
  <c r="N114" i="73"/>
  <c r="J199" i="73"/>
  <c r="K199" i="73" s="1"/>
  <c r="N58" i="73"/>
  <c r="J218" i="73"/>
  <c r="O218" i="73" s="1"/>
  <c r="N180" i="73"/>
  <c r="N86" i="73"/>
  <c r="J200" i="73"/>
  <c r="O200" i="73" s="1"/>
  <c r="O73" i="73"/>
  <c r="J212" i="73"/>
  <c r="K212" i="73" s="1"/>
  <c r="N46" i="73"/>
  <c r="N73" i="73"/>
  <c r="J202" i="73"/>
  <c r="O202" i="73" s="1"/>
  <c r="N139" i="73"/>
  <c r="J203" i="73"/>
  <c r="O203" i="73" s="1"/>
  <c r="N155" i="73"/>
  <c r="J214" i="73"/>
  <c r="O214" i="73" s="1"/>
  <c r="J201" i="73"/>
  <c r="O201" i="73" s="1"/>
  <c r="N32" i="73"/>
  <c r="J98" i="73"/>
  <c r="I101" i="73"/>
  <c r="J213" i="73"/>
  <c r="O213" i="73" s="1"/>
  <c r="N217" i="73"/>
  <c r="N220" i="73" s="1"/>
  <c r="I195" i="73"/>
  <c r="J205" i="73"/>
  <c r="O205" i="73" s="1"/>
  <c r="J58" i="73"/>
  <c r="N98" i="73"/>
  <c r="O176" i="73"/>
  <c r="J206" i="73"/>
  <c r="O206" i="73" s="1"/>
  <c r="N168" i="73"/>
  <c r="O118" i="73"/>
  <c r="I208" i="73"/>
  <c r="J190" i="73"/>
  <c r="O86" i="73"/>
  <c r="N127" i="73"/>
  <c r="O150" i="73"/>
  <c r="O155" i="73" s="1"/>
  <c r="J215" i="73"/>
  <c r="O215" i="73" s="1"/>
  <c r="O98" i="73"/>
  <c r="J217" i="73"/>
  <c r="O217" i="73" s="1"/>
  <c r="O175" i="73"/>
  <c r="I220" i="73"/>
  <c r="J204" i="73"/>
  <c r="O204" i="73" s="1"/>
  <c r="K216" i="73"/>
  <c r="K192" i="73"/>
  <c r="N208" i="73"/>
  <c r="N195" i="73"/>
  <c r="J220" i="73" l="1"/>
  <c r="O127" i="73"/>
  <c r="O142" i="73" s="1"/>
  <c r="J101" i="73"/>
  <c r="J195" i="73"/>
  <c r="K190" i="73"/>
  <c r="O199" i="73"/>
  <c r="O208" i="73" s="1"/>
  <c r="K200" i="73"/>
  <c r="K218" i="73"/>
  <c r="K202" i="73"/>
  <c r="N101" i="73"/>
  <c r="O212" i="73"/>
  <c r="O220" i="73" s="1"/>
  <c r="N60" i="73"/>
  <c r="N142" i="73"/>
  <c r="K214" i="73"/>
  <c r="K193" i="73"/>
  <c r="K203" i="73"/>
  <c r="K201" i="73"/>
  <c r="N182" i="73"/>
  <c r="O180" i="73"/>
  <c r="O182" i="73" s="1"/>
  <c r="K191" i="73"/>
  <c r="K206" i="73"/>
  <c r="O60" i="73"/>
  <c r="J60" i="73"/>
  <c r="K213" i="73"/>
  <c r="K205" i="73"/>
  <c r="O101" i="73"/>
  <c r="O190" i="73"/>
  <c r="O195" i="73" s="1"/>
  <c r="I222" i="73"/>
  <c r="K215" i="73"/>
  <c r="J208" i="73"/>
  <c r="K204" i="73"/>
  <c r="N222" i="73"/>
  <c r="J222" i="73" l="1"/>
  <c r="O222" i="73"/>
</calcChain>
</file>

<file path=xl/comments1.xml><?xml version="1.0" encoding="utf-8"?>
<comments xmlns="http://schemas.openxmlformats.org/spreadsheetml/2006/main">
  <authors>
    <author>Samantha Williamson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UB1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UB1
</t>
        </r>
      </text>
    </comment>
  </commentList>
</comments>
</file>

<file path=xl/comments2.xml><?xml version="1.0" encoding="utf-8"?>
<comments xmlns="http://schemas.openxmlformats.org/spreadsheetml/2006/main">
  <authors>
    <author>Samantha Williamson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subtracted .95 due to rounding from feb cycle 21
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 due to rounding
</t>
        </r>
      </text>
    </comment>
    <comment ref="E17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-.42 due to rounding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$100 Mylott Charge every month
</t>
        </r>
      </text>
    </comment>
    <comment ref="E241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-.13 due to rounding</t>
        </r>
      </text>
    </comment>
    <comment ref="E248" authorId="0" shapeId="0">
      <text>
        <r>
          <rPr>
            <b/>
            <sz val="9"/>
            <color indexed="81"/>
            <rFont val="Tahoma"/>
            <family val="2"/>
          </rPr>
          <t>Samantha Williamson:</t>
        </r>
        <r>
          <rPr>
            <sz val="9"/>
            <color indexed="81"/>
            <rFont val="Tahoma"/>
            <family val="2"/>
          </rPr>
          <t xml:space="preserve">
-.54 due to rounding
</t>
        </r>
      </text>
    </comment>
  </commentList>
</comments>
</file>

<file path=xl/sharedStrings.xml><?xml version="1.0" encoding="utf-8"?>
<sst xmlns="http://schemas.openxmlformats.org/spreadsheetml/2006/main" count="3733" uniqueCount="248">
  <si>
    <t>KWH</t>
  </si>
  <si>
    <t>Unbilled Sales and Revenue</t>
  </si>
  <si>
    <t>Previous Month</t>
  </si>
  <si>
    <t>Current Month</t>
  </si>
  <si>
    <t>Net Amount</t>
  </si>
  <si>
    <t>Net System Input</t>
  </si>
  <si>
    <t>Less Wholesale</t>
  </si>
  <si>
    <t>Adjusted NSI</t>
  </si>
  <si>
    <t>Calculated Losses</t>
  </si>
  <si>
    <t xml:space="preserve">Adjustment </t>
  </si>
  <si>
    <t>Less Metered Sales</t>
  </si>
  <si>
    <t>Last Month's Unbilled (reversal)</t>
  </si>
  <si>
    <t xml:space="preserve">  Accrual for Month</t>
  </si>
  <si>
    <t>ARKANSAS</t>
  </si>
  <si>
    <t>REVENUE</t>
  </si>
  <si>
    <t>ACCRUAL</t>
  </si>
  <si>
    <t>RATE</t>
  </si>
  <si>
    <t>RES</t>
  </si>
  <si>
    <t>PL</t>
  </si>
  <si>
    <t>RG</t>
  </si>
  <si>
    <t>RG/WH</t>
  </si>
  <si>
    <t>RH</t>
  </si>
  <si>
    <t>Total</t>
  </si>
  <si>
    <t>COM</t>
  </si>
  <si>
    <t>CB</t>
  </si>
  <si>
    <t>SH</t>
  </si>
  <si>
    <t>LS</t>
  </si>
  <si>
    <t>TEB</t>
  </si>
  <si>
    <t>GP</t>
  </si>
  <si>
    <t>LP/PT</t>
  </si>
  <si>
    <t>MS</t>
  </si>
  <si>
    <t>IND*</t>
  </si>
  <si>
    <t>PFM</t>
  </si>
  <si>
    <t>PF</t>
  </si>
  <si>
    <t>TOTAL AR</t>
  </si>
  <si>
    <t>KANSAS</t>
  </si>
  <si>
    <t>TOTAL KS</t>
  </si>
  <si>
    <t>MISSOURI</t>
  </si>
  <si>
    <t>TOTAL MO</t>
  </si>
  <si>
    <t>OKLAHOMA</t>
  </si>
  <si>
    <t>TOTAL OK</t>
  </si>
  <si>
    <t>TOTAL CO.</t>
  </si>
  <si>
    <t>Arkansas Customers</t>
  </si>
  <si>
    <t>1st</t>
  </si>
  <si>
    <t>2nd</t>
  </si>
  <si>
    <t>3rd</t>
  </si>
  <si>
    <t>4th</t>
  </si>
  <si>
    <t>Rev/Class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</si>
  <si>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</si>
  <si>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</si>
  <si>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</si>
  <si>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</si>
  <si>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</si>
  <si>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</si>
  <si>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</si>
  <si>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</si>
  <si>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</si>
  <si>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</si>
  <si>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</si>
  <si>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</si>
  <si>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Quarter</t>
  </si>
  <si>
    <t>YTD</t>
  </si>
  <si>
    <t>Residential</t>
  </si>
  <si>
    <t>00</t>
  </si>
  <si>
    <t>Commercial</t>
  </si>
  <si>
    <t>40</t>
  </si>
  <si>
    <t>Industrial</t>
  </si>
  <si>
    <t>50</t>
  </si>
  <si>
    <t>Oil Pumping</t>
  </si>
  <si>
    <t>51</t>
  </si>
  <si>
    <t>Praxair</t>
  </si>
  <si>
    <t>52</t>
  </si>
  <si>
    <t>SPP / EIS</t>
  </si>
  <si>
    <t>Government Agency</t>
  </si>
  <si>
    <t>85</t>
  </si>
  <si>
    <t>Electric Co.</t>
  </si>
  <si>
    <t>87</t>
  </si>
  <si>
    <t>Municipalities</t>
  </si>
  <si>
    <t>88</t>
  </si>
  <si>
    <t>Street/Other Lighting</t>
  </si>
  <si>
    <t>89/92</t>
  </si>
  <si>
    <t>Other Public Auth.</t>
  </si>
  <si>
    <t>90/91</t>
  </si>
  <si>
    <t>Interdepartmental</t>
  </si>
  <si>
    <t>94</t>
  </si>
  <si>
    <t xml:space="preserve">    Total</t>
  </si>
  <si>
    <t xml:space="preserve">        Total Retail</t>
  </si>
  <si>
    <t>Arkansas KWHS</t>
  </si>
  <si>
    <t xml:space="preserve">SPP / EIS </t>
  </si>
  <si>
    <t>Net Unbilled Revenue</t>
  </si>
  <si>
    <t>Res</t>
  </si>
  <si>
    <t>Unbilled Revenue</t>
  </si>
  <si>
    <t>Com</t>
  </si>
  <si>
    <t xml:space="preserve">   Net</t>
  </si>
  <si>
    <t>Ind</t>
  </si>
  <si>
    <t>Arkansas Revenue</t>
  </si>
  <si>
    <t>Net Unbilled</t>
  </si>
  <si>
    <t xml:space="preserve">  Revenue</t>
  </si>
  <si>
    <t>Late Payment Fees</t>
  </si>
  <si>
    <t>Kansas Customers</t>
  </si>
  <si>
    <t>Kansas KWHS</t>
  </si>
  <si>
    <t>Kansas Revenue</t>
  </si>
  <si>
    <t>Missouri Customers</t>
  </si>
  <si>
    <t>Missouri KWHS</t>
  </si>
  <si>
    <t>Missouri Revenue</t>
  </si>
  <si>
    <t>Oklahoma Customers</t>
  </si>
  <si>
    <t>Oklahoma KWHS</t>
  </si>
  <si>
    <t>Oklahoma Revenue</t>
  </si>
  <si>
    <t>Total Co. Customers</t>
  </si>
  <si>
    <t>Total Co. KWHS</t>
  </si>
  <si>
    <t>Net Unbilled KWHS</t>
  </si>
  <si>
    <t>Total Co. Revenue</t>
  </si>
  <si>
    <t>**May 2008 includes Off-Systems FERC Refunds of &lt;$288,521.92&gt;</t>
  </si>
  <si>
    <t>St</t>
  </si>
  <si>
    <t>District_Name</t>
  </si>
  <si>
    <t>Package_Name</t>
  </si>
  <si>
    <t>Customers</t>
  </si>
  <si>
    <t>Usage</t>
  </si>
  <si>
    <t>Fran Fee</t>
  </si>
  <si>
    <t>FAC</t>
  </si>
  <si>
    <t>EnergyCostAdj</t>
  </si>
  <si>
    <t>ProperTax</t>
  </si>
  <si>
    <t>StrmRcvry</t>
  </si>
  <si>
    <t>DsmRec</t>
  </si>
  <si>
    <t>CapRec</t>
  </si>
  <si>
    <t>SWPP</t>
  </si>
  <si>
    <t>EERC</t>
  </si>
  <si>
    <t>EFF</t>
  </si>
  <si>
    <t>TCR</t>
  </si>
  <si>
    <t>InterimEnergyChg</t>
  </si>
  <si>
    <t>InterimEnergyCredit</t>
  </si>
  <si>
    <t>AR</t>
  </si>
  <si>
    <t>Gravette</t>
  </si>
  <si>
    <t>Electric</t>
  </si>
  <si>
    <t>NM-Net Metering</t>
  </si>
  <si>
    <t>Lighting</t>
  </si>
  <si>
    <t>PL-Private Lighting</t>
  </si>
  <si>
    <t>Neosho</t>
  </si>
  <si>
    <t>RG-Residential</t>
  </si>
  <si>
    <t>CB-Commercial</t>
  </si>
  <si>
    <t>GP-General Power</t>
  </si>
  <si>
    <t>LS-Special Lighting</t>
  </si>
  <si>
    <t>PT-Transmission</t>
  </si>
  <si>
    <t>SPL-Municipal St Lighting</t>
  </si>
  <si>
    <t>Other Public Authority</t>
  </si>
  <si>
    <t>KS</t>
  </si>
  <si>
    <t>Baxter Springs</t>
  </si>
  <si>
    <t>Columbus</t>
  </si>
  <si>
    <t>RG-Residential Water Heat</t>
  </si>
  <si>
    <t>RH-Residential Total Elec</t>
  </si>
  <si>
    <t>SH-Small Heating</t>
  </si>
  <si>
    <t>TEB-Total Electric Bldg</t>
  </si>
  <si>
    <t>MO</t>
  </si>
  <si>
    <t>Aurora</t>
  </si>
  <si>
    <t>Bolivar</t>
  </si>
  <si>
    <t>Branson</t>
  </si>
  <si>
    <t>Buffalo</t>
  </si>
  <si>
    <t>Joplin</t>
  </si>
  <si>
    <t>Ozark</t>
  </si>
  <si>
    <t>Republic</t>
  </si>
  <si>
    <t>Webb City</t>
  </si>
  <si>
    <t>Pierce City</t>
  </si>
  <si>
    <t>RGL-Residential Pilot</t>
  </si>
  <si>
    <t>LP-Large Power</t>
  </si>
  <si>
    <t>MS-Miscellaneous</t>
  </si>
  <si>
    <t>Oil Pipe GP-General Power</t>
  </si>
  <si>
    <t>PFM-Feed Mill/Grain Elev</t>
  </si>
  <si>
    <t>OK</t>
  </si>
  <si>
    <t>NEB-Optional Net Billing</t>
  </si>
  <si>
    <t>Grand Total</t>
  </si>
  <si>
    <t>ECP</t>
  </si>
  <si>
    <t>IR Added</t>
  </si>
  <si>
    <t>IRCredit</t>
  </si>
  <si>
    <t>IRPenalty</t>
  </si>
  <si>
    <t>ReconectChg</t>
  </si>
  <si>
    <t>RecAftHr</t>
  </si>
  <si>
    <t>TripChg</t>
  </si>
  <si>
    <t>LateFee</t>
  </si>
  <si>
    <t>ReturnChkFee</t>
  </si>
  <si>
    <t>DepInt</t>
  </si>
  <si>
    <t>Tax_Amt</t>
  </si>
  <si>
    <t xml:space="preserve"> </t>
  </si>
  <si>
    <t>CogenChgAmt</t>
  </si>
  <si>
    <t>CogenUsage</t>
  </si>
  <si>
    <t>EnvRec</t>
  </si>
  <si>
    <t>Rvrtn Rdr</t>
  </si>
  <si>
    <t>TaxCuts</t>
  </si>
  <si>
    <t>Muni Street &amp; Highway Lighting</t>
  </si>
  <si>
    <t>Unbilled Cycle 21 Accrual</t>
  </si>
  <si>
    <t>IND</t>
  </si>
  <si>
    <t>Pricing Plan</t>
  </si>
  <si>
    <t>Wholesale Municipalities</t>
  </si>
  <si>
    <t>GFR-Chetopa</t>
  </si>
  <si>
    <t>Greenfield</t>
  </si>
  <si>
    <t>Oil Pipe LP-Large Power</t>
  </si>
  <si>
    <t>SC-P PRAXAIR Transmission</t>
  </si>
  <si>
    <t>GFR-Lockwood</t>
  </si>
  <si>
    <t>GFR-Monett</t>
  </si>
  <si>
    <t>GFR-Mt Vernon</t>
  </si>
  <si>
    <t>Oil Pipe PT-Transmission</t>
  </si>
  <si>
    <t>Last Month's  Cycle 21Unbilled (reversal)</t>
  </si>
  <si>
    <t>Fuel</t>
  </si>
  <si>
    <t>Revenue Class</t>
  </si>
  <si>
    <t>EnrgyCstRcvry</t>
  </si>
  <si>
    <t>HydrantRntl</t>
  </si>
  <si>
    <t>WaterPrimacy</t>
  </si>
  <si>
    <t>TaxChange</t>
  </si>
  <si>
    <t>TDC</t>
  </si>
  <si>
    <t>Total Revenue</t>
  </si>
  <si>
    <t>November 2019</t>
  </si>
  <si>
    <t>Fuel Charge</t>
  </si>
  <si>
    <t>XsFclty</t>
  </si>
  <si>
    <t xml:space="preserve"> NM-Net Metering  Total</t>
  </si>
  <si>
    <t xml:space="preserve"> PL-Private Lighting  Total</t>
  </si>
  <si>
    <t xml:space="preserve"> RG-Residential  Total</t>
  </si>
  <si>
    <t xml:space="preserve"> RGL-Residential Pilot  Total</t>
  </si>
  <si>
    <t xml:space="preserve"> RG-Residential Water Heat  Total</t>
  </si>
  <si>
    <t xml:space="preserve"> RH-Residential Total Elec  Total</t>
  </si>
  <si>
    <t xml:space="preserve"> Residential  Total</t>
  </si>
  <si>
    <t xml:space="preserve"> CB-Commercial  Total</t>
  </si>
  <si>
    <t xml:space="preserve"> GP-General Power  Total</t>
  </si>
  <si>
    <t xml:space="preserve"> LP-Large Power  Total</t>
  </si>
  <si>
    <t xml:space="preserve"> LS-Special Lighting  Total</t>
  </si>
  <si>
    <t xml:space="preserve"> MS-Miscellaneous  Total</t>
  </si>
  <si>
    <t xml:space="preserve"> NEB-Optional Net Billing  Total</t>
  </si>
  <si>
    <t xml:space="preserve"> PT-Transmission  Total</t>
  </si>
  <si>
    <t xml:space="preserve"> SH-Small Heating  Total</t>
  </si>
  <si>
    <t xml:space="preserve"> TEB-Total Electric Bldg  Total</t>
  </si>
  <si>
    <t xml:space="preserve"> Commercial  Total</t>
  </si>
  <si>
    <t xml:space="preserve"> Oil Pipe GP-General Power  Total</t>
  </si>
  <si>
    <t xml:space="preserve"> Oil Pipe LP-Large Power  Total</t>
  </si>
  <si>
    <t xml:space="preserve"> Oil Pipe PT-Transmission  Total</t>
  </si>
  <si>
    <t xml:space="preserve"> PFM-Feed Mill/Grain Elev  Total</t>
  </si>
  <si>
    <t xml:space="preserve"> SC-P PRAXAIR Transmission  Total</t>
  </si>
  <si>
    <t xml:space="preserve"> Industrial  Total</t>
  </si>
  <si>
    <t xml:space="preserve"> SPL-Municipal St Lighting  Total</t>
  </si>
  <si>
    <t xml:space="preserve"> Muni Street &amp; Highway Lighting  Total</t>
  </si>
  <si>
    <t xml:space="preserve"> Other Public Authority  Total</t>
  </si>
  <si>
    <t xml:space="preserve"> Interdepartmental  Total</t>
  </si>
  <si>
    <t xml:space="preserve"> GFR-Chetopa  Total</t>
  </si>
  <si>
    <t xml:space="preserve"> GFR-Lockwood  Total</t>
  </si>
  <si>
    <t xml:space="preserve"> GFR-Monett  Total</t>
  </si>
  <si>
    <t xml:space="preserve"> GFR-Mt Vernon  Total</t>
  </si>
  <si>
    <t xml:space="preserve"> Wholesale Municipalities  Total</t>
  </si>
  <si>
    <t>Current Month: December 2019</t>
  </si>
  <si>
    <t>December 2019</t>
  </si>
  <si>
    <t>ER-2019-0374</t>
  </si>
  <si>
    <t>Exhibit 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</si>
</sst>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_);\(#,##0.00000\)"/>
    <numFmt numFmtId="165" formatCode="0.0%"/>
    <numFmt numFmtId="166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62"/>
      <name val="Arial"/>
      <family val="2"/>
    </font>
    <font>
      <sz val="10"/>
      <color indexed="62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.5"/>
      <color theme="1"/>
      <name val="San Serif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0" fontId="1" fillId="0" borderId="0"/>
    <xf numFmtId="0" fontId="10" fillId="0" borderId="0">
      <alignment vertical="top"/>
    </xf>
    <xf numFmtId="0" fontId="13" fillId="0" borderId="0"/>
    <xf numFmtId="0" fontId="14" fillId="0" borderId="0"/>
    <xf numFmtId="0" fontId="15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9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8"/>
    <xf numFmtId="164" fontId="1" fillId="3" borderId="2" xfId="8" applyNumberFormat="1" applyFill="1" applyBorder="1"/>
    <xf numFmtId="0" fontId="4" fillId="0" borderId="0" xfId="8" applyFont="1" applyBorder="1"/>
    <xf numFmtId="37" fontId="4" fillId="0" borderId="0" xfId="8" applyNumberFormat="1" applyFont="1" applyBorder="1"/>
    <xf numFmtId="37" fontId="5" fillId="0" borderId="0" xfId="8" applyNumberFormat="1" applyFont="1" applyBorder="1"/>
    <xf numFmtId="164" fontId="1" fillId="0" borderId="0" xfId="8" applyNumberFormat="1" applyBorder="1"/>
    <xf numFmtId="164" fontId="1" fillId="3" borderId="3" xfId="8" applyNumberFormat="1" applyFill="1" applyBorder="1"/>
    <xf numFmtId="0" fontId="1" fillId="0" borderId="0" xfId="8" applyBorder="1"/>
    <xf numFmtId="0" fontId="1" fillId="0" borderId="4" xfId="8" applyBorder="1"/>
    <xf numFmtId="0" fontId="4" fillId="0" borderId="0" xfId="8" applyFont="1" applyFill="1" applyBorder="1"/>
    <xf numFmtId="37" fontId="5" fillId="0" borderId="5" xfId="8" applyNumberFormat="1" applyFont="1" applyBorder="1"/>
    <xf numFmtId="37" fontId="1" fillId="0" borderId="0" xfId="8" applyNumberFormat="1" applyBorder="1"/>
    <xf numFmtId="0" fontId="2" fillId="0" borderId="0" xfId="8" applyFont="1" applyBorder="1"/>
    <xf numFmtId="37" fontId="2" fillId="0" borderId="6" xfId="8" applyNumberFormat="1" applyFont="1" applyBorder="1"/>
    <xf numFmtId="37" fontId="1" fillId="0" borderId="7" xfId="8" applyNumberFormat="1" applyBorder="1"/>
    <xf numFmtId="37" fontId="1" fillId="0" borderId="5" xfId="8" applyNumberFormat="1" applyBorder="1"/>
    <xf numFmtId="164" fontId="1" fillId="0" borderId="8" xfId="8" applyNumberFormat="1" applyBorder="1"/>
    <xf numFmtId="0" fontId="1" fillId="0" borderId="7" xfId="8" applyBorder="1"/>
    <xf numFmtId="0" fontId="1" fillId="0" borderId="5" xfId="8" applyBorder="1"/>
    <xf numFmtId="0" fontId="1" fillId="0" borderId="8" xfId="8" applyBorder="1"/>
    <xf numFmtId="37" fontId="2" fillId="0" borderId="0" xfId="8" applyNumberFormat="1" applyFont="1" applyBorder="1"/>
    <xf numFmtId="164" fontId="2" fillId="0" borderId="0" xfId="8" applyNumberFormat="1" applyFont="1" applyBorder="1"/>
    <xf numFmtId="164" fontId="2" fillId="3" borderId="3" xfId="8" applyNumberFormat="1" applyFont="1" applyFill="1" applyBorder="1" applyAlignment="1"/>
    <xf numFmtId="164" fontId="2" fillId="3" borderId="3" xfId="8" applyNumberFormat="1" applyFont="1" applyFill="1" applyBorder="1"/>
    <xf numFmtId="37" fontId="2" fillId="0" borderId="4" xfId="8" applyNumberFormat="1" applyFont="1" applyBorder="1"/>
    <xf numFmtId="37" fontId="2" fillId="0" borderId="0" xfId="8" applyNumberFormat="1" applyFont="1" applyBorder="1" applyAlignment="1">
      <alignment horizontal="center"/>
    </xf>
    <xf numFmtId="164" fontId="2" fillId="0" borderId="0" xfId="8" applyNumberFormat="1" applyFont="1" applyBorder="1" applyAlignment="1">
      <alignment horizontal="center"/>
    </xf>
    <xf numFmtId="164" fontId="2" fillId="3" borderId="3" xfId="8" applyNumberFormat="1" applyFont="1" applyFill="1" applyBorder="1" applyAlignment="1">
      <alignment horizontal="center"/>
    </xf>
    <xf numFmtId="0" fontId="1" fillId="0" borderId="0" xfId="8" applyProtection="1"/>
    <xf numFmtId="37" fontId="3" fillId="0" borderId="0" xfId="8" applyNumberFormat="1" applyFont="1" applyBorder="1" applyAlignment="1">
      <alignment horizontal="center"/>
    </xf>
    <xf numFmtId="164" fontId="3" fillId="0" borderId="0" xfId="8" applyNumberFormat="1" applyFont="1" applyBorder="1" applyAlignment="1">
      <alignment horizontal="center"/>
    </xf>
    <xf numFmtId="164" fontId="3" fillId="3" borderId="3" xfId="8" applyNumberFormat="1" applyFont="1" applyFill="1" applyBorder="1" applyAlignment="1">
      <alignment horizontal="center"/>
    </xf>
    <xf numFmtId="37" fontId="3" fillId="0" borderId="4" xfId="8" applyNumberFormat="1" applyFont="1" applyBorder="1" applyAlignment="1">
      <alignment horizontal="center"/>
    </xf>
    <xf numFmtId="37" fontId="1" fillId="0" borderId="4" xfId="8" applyNumberFormat="1" applyBorder="1"/>
    <xf numFmtId="164" fontId="5" fillId="0" borderId="0" xfId="8" applyNumberFormat="1" applyFont="1" applyBorder="1"/>
    <xf numFmtId="37" fontId="6" fillId="0" borderId="0" xfId="8" applyNumberFormat="1" applyFont="1" applyBorder="1"/>
    <xf numFmtId="37" fontId="7" fillId="0" borderId="0" xfId="8" applyNumberFormat="1" applyFont="1" applyBorder="1"/>
    <xf numFmtId="37" fontId="7" fillId="0" borderId="4" xfId="8" applyNumberFormat="1" applyFont="1" applyBorder="1"/>
    <xf numFmtId="164" fontId="4" fillId="0" borderId="0" xfId="8" applyNumberFormat="1" applyFont="1" applyBorder="1"/>
    <xf numFmtId="37" fontId="1" fillId="0" borderId="0" xfId="8" applyNumberFormat="1"/>
    <xf numFmtId="37" fontId="6" fillId="0" borderId="0" xfId="8" applyNumberFormat="1" applyFont="1"/>
    <xf numFmtId="164" fontId="1" fillId="0" borderId="0" xfId="8" applyNumberFormat="1"/>
    <xf numFmtId="0" fontId="2" fillId="0" borderId="7" xfId="8" applyFont="1" applyBorder="1"/>
    <xf numFmtId="164" fontId="1" fillId="0" borderId="5" xfId="8" applyNumberFormat="1" applyBorder="1"/>
    <xf numFmtId="164" fontId="1" fillId="3" borderId="9" xfId="8" applyNumberFormat="1" applyFill="1" applyBorder="1"/>
    <xf numFmtId="37" fontId="1" fillId="0" borderId="8" xfId="8" applyNumberFormat="1" applyBorder="1"/>
    <xf numFmtId="37" fontId="1" fillId="0" borderId="0" xfId="8" applyNumberFormat="1" applyFill="1" applyBorder="1"/>
    <xf numFmtId="0" fontId="1" fillId="0" borderId="0" xfId="8" applyFill="1" applyBorder="1"/>
    <xf numFmtId="37" fontId="8" fillId="0" borderId="0" xfId="8" applyNumberFormat="1" applyFont="1" applyBorder="1"/>
    <xf numFmtId="37" fontId="7" fillId="0" borderId="0" xfId="8" applyNumberFormat="1" applyFont="1"/>
    <xf numFmtId="0" fontId="9" fillId="0" borderId="0" xfId="8" applyFont="1"/>
    <xf numFmtId="49" fontId="2" fillId="0" borderId="0" xfId="8" applyNumberFormat="1" applyFont="1" applyAlignment="1">
      <alignment horizontal="center"/>
    </xf>
    <xf numFmtId="37" fontId="5" fillId="0" borderId="0" xfId="8" applyNumberFormat="1" applyFont="1" applyFill="1" applyBorder="1"/>
    <xf numFmtId="0" fontId="1" fillId="0" borderId="0" xfId="8" applyFont="1" applyBorder="1"/>
    <xf numFmtId="166" fontId="36" fillId="0" borderId="0" xfId="74" applyNumberFormat="1" applyFont="1"/>
    <xf numFmtId="166" fontId="36" fillId="0" borderId="0" xfId="74" applyNumberFormat="1" applyFont="1" applyAlignment="1">
      <alignment horizontal="center"/>
    </xf>
    <xf numFmtId="166" fontId="0" fillId="0" borderId="0" xfId="74" applyNumberFormat="1" applyFont="1"/>
    <xf numFmtId="166" fontId="7" fillId="0" borderId="0" xfId="74" applyNumberFormat="1" applyFont="1" applyAlignment="1">
      <alignment horizontal="center"/>
    </xf>
    <xf numFmtId="37" fontId="37" fillId="0" borderId="0" xfId="74" applyNumberFormat="1" applyFont="1"/>
    <xf numFmtId="166" fontId="37" fillId="0" borderId="0" xfId="74" applyNumberFormat="1" applyFont="1"/>
    <xf numFmtId="37" fontId="0" fillId="0" borderId="0" xfId="74" applyNumberFormat="1" applyFont="1"/>
    <xf numFmtId="165" fontId="0" fillId="0" borderId="0" xfId="14" applyNumberFormat="1" applyFont="1"/>
    <xf numFmtId="37" fontId="37" fillId="0" borderId="5" xfId="74" applyNumberFormat="1" applyFont="1" applyBorder="1"/>
    <xf numFmtId="166" fontId="37" fillId="0" borderId="5" xfId="74" applyNumberFormat="1" applyFont="1" applyBorder="1"/>
    <xf numFmtId="37" fontId="0" fillId="0" borderId="5" xfId="74" applyNumberFormat="1" applyFont="1" applyBorder="1"/>
    <xf numFmtId="166" fontId="0" fillId="0" borderId="6" xfId="74" applyNumberFormat="1" applyFont="1" applyBorder="1"/>
    <xf numFmtId="37" fontId="0" fillId="0" borderId="6" xfId="74" applyNumberFormat="1" applyFont="1" applyBorder="1"/>
    <xf numFmtId="166" fontId="0" fillId="0" borderId="0" xfId="74" applyNumberFormat="1" applyFont="1" applyBorder="1"/>
    <xf numFmtId="43" fontId="0" fillId="0" borderId="0" xfId="74" applyNumberFormat="1" applyFont="1"/>
    <xf numFmtId="39" fontId="0" fillId="0" borderId="0" xfId="74" applyNumberFormat="1" applyFont="1"/>
    <xf numFmtId="43" fontId="37" fillId="0" borderId="0" xfId="74" applyNumberFormat="1" applyFont="1"/>
    <xf numFmtId="43" fontId="37" fillId="0" borderId="5" xfId="74" applyNumberFormat="1" applyFont="1" applyBorder="1"/>
    <xf numFmtId="39" fontId="0" fillId="0" borderId="5" xfId="74" applyNumberFormat="1" applyFont="1" applyBorder="1"/>
    <xf numFmtId="43" fontId="0" fillId="0" borderId="6" xfId="74" applyNumberFormat="1" applyFont="1" applyBorder="1"/>
    <xf numFmtId="39" fontId="0" fillId="0" borderId="6" xfId="74" applyNumberFormat="1" applyFont="1" applyBorder="1"/>
    <xf numFmtId="166" fontId="0" fillId="0" borderId="11" xfId="74" applyNumberFormat="1" applyFont="1" applyBorder="1"/>
    <xf numFmtId="37" fontId="0" fillId="0" borderId="0" xfId="74" applyNumberFormat="1" applyFont="1" applyBorder="1"/>
    <xf numFmtId="166" fontId="5" fillId="0" borderId="0" xfId="74" applyNumberFormat="1" applyFont="1" applyBorder="1"/>
    <xf numFmtId="166" fontId="0" fillId="0" borderId="5" xfId="74" applyNumberFormat="1" applyFont="1" applyBorder="1"/>
    <xf numFmtId="43" fontId="0" fillId="0" borderId="0" xfId="74" applyNumberFormat="1" applyFont="1" applyFill="1" applyBorder="1"/>
    <xf numFmtId="43" fontId="0" fillId="0" borderId="0" xfId="74" applyNumberFormat="1" applyFont="1" applyBorder="1"/>
    <xf numFmtId="43" fontId="5" fillId="0" borderId="0" xfId="74" applyNumberFormat="1" applyFont="1" applyBorder="1"/>
    <xf numFmtId="43" fontId="0" fillId="0" borderId="5" xfId="74" applyNumberFormat="1" applyFont="1" applyBorder="1"/>
    <xf numFmtId="43" fontId="37" fillId="0" borderId="0" xfId="74" applyNumberFormat="1" applyFont="1" applyFill="1" applyBorder="1"/>
    <xf numFmtId="37" fontId="37" fillId="0" borderId="0" xfId="74" applyNumberFormat="1" applyFont="1" applyFill="1"/>
    <xf numFmtId="166" fontId="37" fillId="0" borderId="0" xfId="74" applyNumberFormat="1" applyFont="1" applyFill="1"/>
    <xf numFmtId="37" fontId="37" fillId="0" borderId="5" xfId="74" applyNumberFormat="1" applyFont="1" applyFill="1" applyBorder="1"/>
    <xf numFmtId="166" fontId="37" fillId="0" borderId="5" xfId="74" applyNumberFormat="1" applyFont="1" applyFill="1" applyBorder="1"/>
    <xf numFmtId="166" fontId="37" fillId="0" borderId="0" xfId="74" applyNumberFormat="1" applyFont="1" applyBorder="1"/>
    <xf numFmtId="43" fontId="37" fillId="0" borderId="0" xfId="74" applyNumberFormat="1" applyFont="1" applyBorder="1"/>
    <xf numFmtId="43" fontId="37" fillId="0" borderId="0" xfId="74" applyNumberFormat="1" applyFont="1" applyFill="1"/>
    <xf numFmtId="37" fontId="0" fillId="0" borderId="0" xfId="74" applyNumberFormat="1" applyFont="1" applyFill="1"/>
    <xf numFmtId="166" fontId="40" fillId="0" borderId="0" xfId="74" applyNumberFormat="1" applyFont="1" applyBorder="1"/>
    <xf numFmtId="37" fontId="40" fillId="0" borderId="0" xfId="74" applyNumberFormat="1" applyFont="1"/>
    <xf numFmtId="165" fontId="40" fillId="0" borderId="0" xfId="14" applyNumberFormat="1" applyFont="1"/>
    <xf numFmtId="10" fontId="0" fillId="0" borderId="0" xfId="14" applyNumberFormat="1" applyFont="1"/>
    <xf numFmtId="43" fontId="1" fillId="0" borderId="6" xfId="74" applyNumberFormat="1" applyFont="1" applyFill="1" applyBorder="1"/>
    <xf numFmtId="0" fontId="2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37" fontId="0" fillId="0" borderId="0" xfId="0" applyNumberFormat="1"/>
    <xf numFmtId="166" fontId="0" fillId="0" borderId="0" xfId="0" applyNumberFormat="1"/>
    <xf numFmtId="0" fontId="0" fillId="0" borderId="0" xfId="0" quotePrefix="1"/>
    <xf numFmtId="37" fontId="0" fillId="0" borderId="6" xfId="0" applyNumberFormat="1" applyBorder="1"/>
    <xf numFmtId="37" fontId="0" fillId="0" borderId="0" xfId="0" applyNumberFormat="1" applyBorder="1"/>
    <xf numFmtId="37" fontId="37" fillId="0" borderId="0" xfId="0" applyNumberFormat="1" applyFont="1"/>
    <xf numFmtId="37" fontId="37" fillId="0" borderId="0" xfId="0" applyNumberFormat="1" applyFont="1" applyBorder="1"/>
    <xf numFmtId="0" fontId="1" fillId="0" borderId="0" xfId="0" applyFont="1"/>
    <xf numFmtId="37" fontId="37" fillId="0" borderId="0" xfId="0" applyNumberFormat="1" applyFont="1" applyFill="1" applyBorder="1"/>
    <xf numFmtId="37" fontId="37" fillId="0" borderId="5" xfId="0" applyNumberFormat="1" applyFont="1" applyBorder="1"/>
    <xf numFmtId="39" fontId="0" fillId="0" borderId="0" xfId="0" applyNumberFormat="1"/>
    <xf numFmtId="39" fontId="0" fillId="0" borderId="0" xfId="0" applyNumberFormat="1" applyBorder="1"/>
    <xf numFmtId="39" fontId="37" fillId="0" borderId="0" xfId="0" applyNumberFormat="1" applyFont="1"/>
    <xf numFmtId="39" fontId="37" fillId="0" borderId="5" xfId="0" applyNumberFormat="1" applyFont="1" applyBorder="1"/>
    <xf numFmtId="39" fontId="0" fillId="0" borderId="6" xfId="0" applyNumberFormat="1" applyBorder="1"/>
    <xf numFmtId="43" fontId="37" fillId="0" borderId="0" xfId="0" applyNumberFormat="1" applyFont="1"/>
    <xf numFmtId="37" fontId="0" fillId="0" borderId="0" xfId="0" applyNumberFormat="1" applyFill="1"/>
    <xf numFmtId="37" fontId="0" fillId="0" borderId="11" xfId="0" applyNumberFormat="1" applyBorder="1"/>
    <xf numFmtId="39" fontId="0" fillId="0" borderId="0" xfId="0" applyNumberFormat="1" applyFill="1"/>
    <xf numFmtId="39" fontId="37" fillId="0" borderId="0" xfId="0" applyNumberFormat="1" applyFont="1" applyFill="1"/>
    <xf numFmtId="39" fontId="37" fillId="0" borderId="5" xfId="0" applyNumberFormat="1" applyFont="1" applyFill="1" applyBorder="1"/>
    <xf numFmtId="37" fontId="0" fillId="0" borderId="0" xfId="0" applyNumberFormat="1" applyFill="1" applyBorder="1"/>
    <xf numFmtId="37" fontId="5" fillId="0" borderId="0" xfId="0" applyNumberFormat="1" applyFont="1" applyBorder="1"/>
    <xf numFmtId="37" fontId="0" fillId="0" borderId="5" xfId="0" applyNumberFormat="1" applyBorder="1"/>
    <xf numFmtId="37" fontId="0" fillId="0" borderId="5" xfId="0" applyNumberFormat="1" applyFill="1" applyBorder="1"/>
    <xf numFmtId="37" fontId="0" fillId="0" borderId="6" xfId="0" applyNumberFormat="1" applyFill="1" applyBorder="1"/>
    <xf numFmtId="39" fontId="0" fillId="0" borderId="0" xfId="0" applyNumberFormat="1" applyFill="1" applyBorder="1"/>
    <xf numFmtId="39" fontId="5" fillId="0" borderId="0" xfId="0" applyNumberFormat="1" applyFont="1" applyFill="1" applyBorder="1"/>
    <xf numFmtId="39" fontId="5" fillId="0" borderId="0" xfId="0" applyNumberFormat="1" applyFont="1" applyBorder="1"/>
    <xf numFmtId="39" fontId="37" fillId="0" borderId="0" xfId="0" applyNumberFormat="1" applyFont="1" applyFill="1" applyBorder="1"/>
    <xf numFmtId="39" fontId="0" fillId="0" borderId="5" xfId="0" applyNumberFormat="1" applyFill="1" applyBorder="1"/>
    <xf numFmtId="39" fontId="0" fillId="0" borderId="5" xfId="0" applyNumberFormat="1" applyBorder="1"/>
    <xf numFmtId="39" fontId="37" fillId="0" borderId="0" xfId="0" applyNumberFormat="1" applyFont="1" applyBorder="1"/>
    <xf numFmtId="43" fontId="37" fillId="0" borderId="5" xfId="0" applyNumberFormat="1" applyFont="1" applyBorder="1"/>
    <xf numFmtId="49" fontId="0" fillId="0" borderId="0" xfId="0" applyNumberFormat="1" applyBorder="1"/>
    <xf numFmtId="37" fontId="38" fillId="0" borderId="0" xfId="0" applyNumberFormat="1" applyFont="1" applyFill="1"/>
    <xf numFmtId="0" fontId="40" fillId="0" borderId="0" xfId="0" applyFont="1"/>
    <xf numFmtId="37" fontId="40" fillId="0" borderId="0" xfId="0" applyNumberFormat="1" applyFont="1"/>
    <xf numFmtId="37" fontId="40" fillId="0" borderId="0" xfId="0" applyNumberFormat="1" applyFont="1" applyBorder="1"/>
    <xf numFmtId="39" fontId="1" fillId="0" borderId="6" xfId="0" applyNumberFormat="1" applyFont="1" applyFill="1" applyBorder="1"/>
    <xf numFmtId="39" fontId="0" fillId="0" borderId="6" xfId="0" applyNumberFormat="1" applyFill="1" applyBorder="1"/>
    <xf numFmtId="39" fontId="1" fillId="0" borderId="6" xfId="0" applyNumberFormat="1" applyFont="1" applyBorder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center"/>
    </xf>
    <xf numFmtId="0" fontId="2" fillId="0" borderId="0" xfId="0" applyFont="1" applyBorder="1"/>
    <xf numFmtId="43" fontId="51" fillId="0" borderId="0" xfId="83" applyFont="1" applyAlignment="1">
      <alignment horizontal="center"/>
    </xf>
    <xf numFmtId="43" fontId="51" fillId="0" borderId="14" xfId="83" applyFont="1" applyBorder="1" applyAlignment="1">
      <alignment horizontal="center"/>
    </xf>
    <xf numFmtId="166" fontId="51" fillId="0" borderId="14" xfId="83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43" fontId="51" fillId="0" borderId="0" xfId="83" applyFont="1"/>
    <xf numFmtId="43" fontId="51" fillId="0" borderId="14" xfId="83" applyFont="1" applyBorder="1"/>
    <xf numFmtId="166" fontId="51" fillId="0" borderId="14" xfId="83" applyNumberFormat="1" applyFont="1" applyBorder="1"/>
    <xf numFmtId="0" fontId="51" fillId="0" borderId="0" xfId="0" applyFont="1"/>
    <xf numFmtId="43" fontId="51" fillId="4" borderId="14" xfId="83" applyFont="1" applyFill="1" applyBorder="1"/>
    <xf numFmtId="166" fontId="51" fillId="4" borderId="14" xfId="83" applyNumberFormat="1" applyFont="1" applyFill="1" applyBorder="1"/>
    <xf numFmtId="166" fontId="51" fillId="0" borderId="0" xfId="83" applyNumberFormat="1" applyFont="1"/>
    <xf numFmtId="0" fontId="1" fillId="0" borderId="0" xfId="8" applyAlignment="1">
      <alignment horizontal="right"/>
    </xf>
    <xf numFmtId="0" fontId="2" fillId="0" borderId="0" xfId="8" applyFont="1" applyAlignment="1">
      <alignment horizontal="center"/>
    </xf>
    <xf numFmtId="49" fontId="2" fillId="0" borderId="0" xfId="8" quotePrefix="1" applyNumberFormat="1" applyFont="1" applyAlignment="1">
      <alignment horizontal="center"/>
    </xf>
    <xf numFmtId="49" fontId="2" fillId="0" borderId="0" xfId="8" applyNumberFormat="1" applyFont="1" applyAlignment="1">
      <alignment horizontal="center"/>
    </xf>
    <xf numFmtId="49" fontId="2" fillId="0" borderId="5" xfId="8" applyNumberFormat="1" applyFont="1" applyBorder="1" applyAlignment="1">
      <alignment horizontal="center"/>
    </xf>
    <xf numFmtId="49" fontId="3" fillId="0" borderId="10" xfId="8" applyNumberFormat="1" applyFont="1" applyBorder="1" applyAlignment="1">
      <alignment horizontal="center"/>
    </xf>
    <xf numFmtId="49" fontId="3" fillId="0" borderId="11" xfId="8" applyNumberFormat="1" applyFont="1" applyBorder="1" applyAlignment="1">
      <alignment horizontal="center"/>
    </xf>
    <xf numFmtId="49" fontId="3" fillId="0" borderId="12" xfId="8" applyNumberFormat="1" applyFont="1" applyBorder="1" applyAlignment="1">
      <alignment horizontal="center"/>
    </xf>
    <xf numFmtId="0" fontId="3" fillId="0" borderId="10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3" fillId="0" borderId="12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0" fontId="2" fillId="0" borderId="4" xfId="8" applyFont="1" applyBorder="1" applyAlignment="1">
      <alignment horizontal="center"/>
    </xf>
    <xf numFmtId="0" fontId="36" fillId="0" borderId="0" xfId="0" applyFont="1" applyBorder="1" applyAlignment="1">
      <alignment horizontal="center"/>
    </xf>
  </cellXfs>
  <cellStyles count="84">
    <cellStyle name="Comma" xfId="83" builtinId="3"/>
    <cellStyle name="Comma 10" xfId="26"/>
    <cellStyle name="Comma 11" xfId="29"/>
    <cellStyle name="Comma 12" xfId="31"/>
    <cellStyle name="Comma 13" xfId="33"/>
    <cellStyle name="Comma 14" xfId="36"/>
    <cellStyle name="Comma 15" xfId="38"/>
    <cellStyle name="Comma 16" xfId="39"/>
    <cellStyle name="Comma 17" xfId="41"/>
    <cellStyle name="Comma 18" xfId="43"/>
    <cellStyle name="Comma 19" xfId="45"/>
    <cellStyle name="Comma 2" xfId="1"/>
    <cellStyle name="Comma 2 2" xfId="74"/>
    <cellStyle name="Comma 20" xfId="49"/>
    <cellStyle name="Comma 21" xfId="51"/>
    <cellStyle name="Comma 22" xfId="52"/>
    <cellStyle name="Comma 23" xfId="54"/>
    <cellStyle name="Comma 24" xfId="56"/>
    <cellStyle name="Comma 25" xfId="58"/>
    <cellStyle name="Comma 26" xfId="61"/>
    <cellStyle name="Comma 27" xfId="65"/>
    <cellStyle name="Comma 28" xfId="68"/>
    <cellStyle name="Comma 29" xfId="70"/>
    <cellStyle name="Comma 3" xfId="2"/>
    <cellStyle name="Comma 30" xfId="72"/>
    <cellStyle name="Comma 31" xfId="76"/>
    <cellStyle name="Comma 32" xfId="78"/>
    <cellStyle name="Comma 33" xfId="80"/>
    <cellStyle name="Comma 34" xfId="82"/>
    <cellStyle name="Comma 4" xfId="3"/>
    <cellStyle name="Comma 5" xfId="4"/>
    <cellStyle name="Comma 6" xfId="5"/>
    <cellStyle name="Comma 7" xfId="6"/>
    <cellStyle name="Comma 8" xfId="7"/>
    <cellStyle name="Comma 9" xfId="24"/>
    <cellStyle name="Currency 2" xfId="47"/>
    <cellStyle name="Normal" xfId="0" builtinId="0"/>
    <cellStyle name="Normal 10" xfId="35"/>
    <cellStyle name="Normal 11" xfId="40"/>
    <cellStyle name="Normal 12" xfId="44"/>
    <cellStyle name="Normal 13" xfId="48"/>
    <cellStyle name="Normal 14" xfId="53"/>
    <cellStyle name="Normal 15" xfId="57"/>
    <cellStyle name="Normal 16" xfId="60"/>
    <cellStyle name="Normal 17" xfId="63"/>
    <cellStyle name="Normal 18" xfId="64"/>
    <cellStyle name="Normal 19" xfId="67"/>
    <cellStyle name="Normal 2" xfId="8"/>
    <cellStyle name="Normal 20" xfId="71"/>
    <cellStyle name="Normal 21" xfId="75"/>
    <cellStyle name="Normal 22" xfId="79"/>
    <cellStyle name="Normal 3" xfId="9"/>
    <cellStyle name="Normal 4" xfId="10"/>
    <cellStyle name="Normal 5" xfId="11"/>
    <cellStyle name="Normal 6" xfId="12"/>
    <cellStyle name="Normal 7" xfId="25"/>
    <cellStyle name="Normal 8" xfId="28"/>
    <cellStyle name="Normal 9" xfId="32"/>
    <cellStyle name="Percent 10" xfId="37"/>
    <cellStyle name="Percent 11" xfId="42"/>
    <cellStyle name="Percent 12" xfId="46"/>
    <cellStyle name="Percent 13" xfId="50"/>
    <cellStyle name="Percent 14" xfId="55"/>
    <cellStyle name="Percent 15" xfId="59"/>
    <cellStyle name="Percent 16" xfId="62"/>
    <cellStyle name="Percent 17" xfId="66"/>
    <cellStyle name="Percent 18" xfId="69"/>
    <cellStyle name="Percent 19" xfId="73"/>
    <cellStyle name="Percent 2" xfId="13"/>
    <cellStyle name="Percent 20" xfId="77"/>
    <cellStyle name="Percent 21" xfId="81"/>
    <cellStyle name="Percent 3" xfId="14"/>
    <cellStyle name="Percent 4" xfId="15"/>
    <cellStyle name="Percent 5" xfId="16"/>
    <cellStyle name="Percent 6" xfId="17"/>
    <cellStyle name="Percent 7" xfId="27"/>
    <cellStyle name="Percent 8" xfId="30"/>
    <cellStyle name="Percent 9" xfId="34"/>
    <cellStyle name="PSChar" xfId="18"/>
    <cellStyle name="PSDate" xfId="19"/>
    <cellStyle name="PSDec" xfId="20"/>
    <cellStyle name="PSHeading" xfId="21"/>
    <cellStyle name="PSInt" xfId="22"/>
    <cellStyle name="PSSpacer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autoPageBreaks="0"/>
  </sheetPr>
  <dimension ref="A1:AT1246"/>
  <sheetViews>
    <sheetView workbookViewId="0">
      <pane ySplit="2" topLeftCell="A3" activePane="bottomLeft" state="frozen"/>
      <selection pane="bottomLeft" activeCell="D1" sqref="D1"/>
    </sheetView>
  </sheetViews>
  <sheetFormatPr defaultRowHeight="15" customHeight="1" outlineLevelRow="3"/>
  <cols>
    <col min="1" max="1" width="5" style="155" hidden="1" customWidth="1"/>
    <col min="2" max="2" width="16.28515625" style="155" hidden="1" customWidth="1"/>
    <col min="3" max="3" width="17.140625" style="155" hidden="1" customWidth="1"/>
    <col min="4" max="4" width="12.28515625" style="155" customWidth="1"/>
    <col min="5" max="5" width="27.140625" style="155" bestFit="1" customWidth="1"/>
    <col min="6" max="6" width="9.5703125" style="161" bestFit="1" customWidth="1"/>
    <col min="7" max="7" width="10.7109375" style="161" bestFit="1" customWidth="1"/>
    <col min="8" max="8" width="12" style="155" bestFit="1" customWidth="1"/>
    <col min="9" max="9" width="9.85546875" style="155" bestFit="1" customWidth="1"/>
    <col min="10" max="10" width="10.42578125" style="155" customWidth="1"/>
    <col min="11" max="11" width="9.85546875" style="155" customWidth="1"/>
    <col min="12" max="12" width="12.5703125" style="155" customWidth="1"/>
    <col min="13" max="13" width="12.42578125" style="155" customWidth="1"/>
    <col min="14" max="14" width="11.140625" style="155" bestFit="1" customWidth="1"/>
    <col min="15" max="16" width="9" style="155" bestFit="1" customWidth="1"/>
    <col min="17" max="17" width="9.28515625" style="155" bestFit="1" customWidth="1"/>
    <col min="18" max="18" width="16.140625" style="155" hidden="1" customWidth="1"/>
    <col min="19" max="19" width="14.140625" style="155" hidden="1" customWidth="1"/>
    <col min="20" max="20" width="9.85546875" style="155" bestFit="1" customWidth="1"/>
    <col min="21" max="21" width="12.42578125" style="155" hidden="1" customWidth="1"/>
    <col min="22" max="22" width="10.5703125" style="155" hidden="1" customWidth="1"/>
    <col min="23" max="23" width="10" style="155" hidden="1" customWidth="1"/>
    <col min="24" max="24" width="8.140625" style="155" bestFit="1" customWidth="1"/>
    <col min="25" max="25" width="9" style="155" bestFit="1" customWidth="1"/>
    <col min="26" max="26" width="9.85546875" style="155" bestFit="1" customWidth="1"/>
    <col min="27" max="27" width="9" style="155" bestFit="1" customWidth="1"/>
    <col min="28" max="28" width="6.5703125" style="155" bestFit="1" customWidth="1"/>
    <col min="29" max="29" width="11.5703125" style="155" hidden="1" customWidth="1"/>
    <col min="30" max="30" width="11.140625" style="155" hidden="1" customWidth="1"/>
    <col min="31" max="31" width="12" style="155" hidden="1" customWidth="1"/>
    <col min="32" max="32" width="15" style="155" hidden="1" customWidth="1"/>
    <col min="33" max="33" width="11.42578125" style="155" hidden="1" customWidth="1"/>
    <col min="34" max="34" width="10.28515625" style="155" hidden="1" customWidth="1"/>
    <col min="35" max="35" width="11.5703125" style="155" hidden="1" customWidth="1"/>
    <col min="36" max="36" width="16.28515625" style="155" hidden="1" customWidth="1"/>
    <col min="37" max="37" width="11.140625" style="155" hidden="1" customWidth="1"/>
    <col min="38" max="38" width="12.28515625" style="155" hidden="1" customWidth="1"/>
    <col min="39" max="39" width="11.7109375" style="155" bestFit="1" customWidth="1"/>
    <col min="40" max="40" width="13.140625" style="155" hidden="1" customWidth="1"/>
    <col min="41" max="41" width="9.85546875" style="155" bestFit="1" customWidth="1"/>
    <col min="42" max="42" width="19.5703125" style="155" hidden="1" customWidth="1"/>
    <col min="43" max="43" width="21.85546875" style="155" hidden="1" customWidth="1"/>
    <col min="44" max="44" width="16.28515625" style="155" hidden="1" customWidth="1"/>
    <col min="45" max="45" width="14.42578125" style="155" hidden="1" customWidth="1"/>
    <col min="46" max="46" width="12" style="155" bestFit="1" customWidth="1"/>
    <col min="47" max="16384" width="9.140625" style="158"/>
  </cols>
  <sheetData>
    <row r="1" spans="1:46" s="154" customFormat="1" ht="11.25">
      <c r="A1" s="151" t="s">
        <v>113</v>
      </c>
      <c r="B1" s="151" t="s">
        <v>114</v>
      </c>
      <c r="C1" s="151" t="s">
        <v>115</v>
      </c>
      <c r="D1" s="152" t="s">
        <v>202</v>
      </c>
      <c r="E1" s="152" t="s">
        <v>190</v>
      </c>
      <c r="F1" s="153" t="s">
        <v>116</v>
      </c>
      <c r="G1" s="153" t="s">
        <v>0</v>
      </c>
      <c r="H1" s="152" t="s">
        <v>117</v>
      </c>
      <c r="I1" s="152" t="s">
        <v>118</v>
      </c>
      <c r="J1" s="152" t="s">
        <v>210</v>
      </c>
      <c r="K1" s="152" t="s">
        <v>119</v>
      </c>
      <c r="L1" s="152" t="s">
        <v>203</v>
      </c>
      <c r="M1" s="152" t="s">
        <v>120</v>
      </c>
      <c r="N1" s="152" t="s">
        <v>201</v>
      </c>
      <c r="O1" s="152" t="s">
        <v>184</v>
      </c>
      <c r="P1" s="152" t="s">
        <v>185</v>
      </c>
      <c r="Q1" s="152" t="s">
        <v>121</v>
      </c>
      <c r="R1" s="152" t="s">
        <v>205</v>
      </c>
      <c r="S1" s="152" t="s">
        <v>204</v>
      </c>
      <c r="T1" s="152" t="s">
        <v>211</v>
      </c>
      <c r="U1" s="152" t="s">
        <v>122</v>
      </c>
      <c r="V1" s="152" t="s">
        <v>123</v>
      </c>
      <c r="W1" s="152" t="s">
        <v>124</v>
      </c>
      <c r="X1" s="152" t="s">
        <v>125</v>
      </c>
      <c r="Y1" s="152" t="s">
        <v>126</v>
      </c>
      <c r="Z1" s="152" t="s">
        <v>127</v>
      </c>
      <c r="AA1" s="152" t="s">
        <v>128</v>
      </c>
      <c r="AB1" s="152" t="s">
        <v>170</v>
      </c>
      <c r="AC1" s="152" t="s">
        <v>171</v>
      </c>
      <c r="AD1" s="152" t="s">
        <v>172</v>
      </c>
      <c r="AE1" s="152" t="s">
        <v>173</v>
      </c>
      <c r="AF1" s="152" t="s">
        <v>174</v>
      </c>
      <c r="AG1" s="152" t="s">
        <v>175</v>
      </c>
      <c r="AH1" s="152" t="s">
        <v>176</v>
      </c>
      <c r="AI1" s="152" t="s">
        <v>177</v>
      </c>
      <c r="AJ1" s="152" t="s">
        <v>178</v>
      </c>
      <c r="AK1" s="152" t="s">
        <v>179</v>
      </c>
      <c r="AL1" s="152" t="s">
        <v>180</v>
      </c>
      <c r="AM1" s="152" t="s">
        <v>186</v>
      </c>
      <c r="AN1" s="152" t="s">
        <v>206</v>
      </c>
      <c r="AO1" s="152" t="s">
        <v>207</v>
      </c>
      <c r="AP1" s="152" t="s">
        <v>129</v>
      </c>
      <c r="AQ1" s="152" t="s">
        <v>130</v>
      </c>
      <c r="AR1" s="152" t="s">
        <v>182</v>
      </c>
      <c r="AS1" s="152" t="s">
        <v>183</v>
      </c>
      <c r="AT1" s="152" t="s">
        <v>208</v>
      </c>
    </row>
    <row r="2" spans="1:46" ht="11.25" hidden="1" outlineLevel="3">
      <c r="A2" s="155" t="s">
        <v>131</v>
      </c>
      <c r="B2" s="155" t="s">
        <v>132</v>
      </c>
      <c r="C2" s="155" t="s">
        <v>133</v>
      </c>
      <c r="D2" s="156" t="s">
        <v>62</v>
      </c>
      <c r="E2" s="156" t="s">
        <v>134</v>
      </c>
      <c r="F2" s="157">
        <v>0</v>
      </c>
      <c r="G2" s="157">
        <v>-262</v>
      </c>
      <c r="H2" s="156">
        <v>-19.89</v>
      </c>
      <c r="I2" s="156">
        <v>0</v>
      </c>
      <c r="J2" s="156">
        <v>0</v>
      </c>
      <c r="K2" s="156">
        <v>0</v>
      </c>
      <c r="L2" s="156">
        <v>0</v>
      </c>
      <c r="M2" s="156">
        <v>0</v>
      </c>
      <c r="N2" s="156">
        <f>J2+K2+L2+M2</f>
        <v>0</v>
      </c>
      <c r="O2" s="156">
        <v>0</v>
      </c>
      <c r="P2" s="156">
        <v>0</v>
      </c>
      <c r="Q2" s="156">
        <v>0</v>
      </c>
      <c r="R2" s="156">
        <v>0</v>
      </c>
      <c r="S2" s="156">
        <v>0</v>
      </c>
      <c r="T2" s="156">
        <v>0</v>
      </c>
      <c r="U2" s="156">
        <v>0</v>
      </c>
      <c r="V2" s="156">
        <v>0</v>
      </c>
      <c r="W2" s="156">
        <v>0</v>
      </c>
      <c r="X2" s="156">
        <v>0</v>
      </c>
      <c r="Y2" s="156">
        <v>0</v>
      </c>
      <c r="Z2" s="156">
        <v>0</v>
      </c>
      <c r="AA2" s="156">
        <v>0</v>
      </c>
      <c r="AB2" s="156">
        <v>0</v>
      </c>
      <c r="AC2" s="156">
        <v>0</v>
      </c>
      <c r="AD2" s="156">
        <v>0</v>
      </c>
      <c r="AE2" s="156">
        <v>0</v>
      </c>
      <c r="AF2" s="156">
        <v>0</v>
      </c>
      <c r="AG2" s="156">
        <v>0</v>
      </c>
      <c r="AH2" s="156">
        <v>0</v>
      </c>
      <c r="AI2" s="156">
        <v>0</v>
      </c>
      <c r="AJ2" s="156">
        <v>0</v>
      </c>
      <c r="AK2" s="156">
        <v>0</v>
      </c>
      <c r="AL2" s="156">
        <v>0</v>
      </c>
      <c r="AM2" s="156">
        <v>0</v>
      </c>
      <c r="AN2" s="156">
        <v>0</v>
      </c>
      <c r="AO2" s="156">
        <v>0</v>
      </c>
      <c r="AP2" s="156">
        <v>0</v>
      </c>
      <c r="AQ2" s="156">
        <v>0</v>
      </c>
      <c r="AR2" s="156">
        <v>0</v>
      </c>
      <c r="AS2" s="156">
        <v>0</v>
      </c>
      <c r="AT2" s="156">
        <f>H2+I2+N2+O2+P2+Q2+T2+X2+Y2+Z2+AA2+AB2+AM2+AO2</f>
        <v>-19.89</v>
      </c>
    </row>
    <row r="3" spans="1:46" ht="11.25" hidden="1" outlineLevel="3">
      <c r="A3" s="155" t="s">
        <v>145</v>
      </c>
      <c r="B3" s="155" t="s">
        <v>146</v>
      </c>
      <c r="C3" s="155" t="s">
        <v>133</v>
      </c>
      <c r="D3" s="156" t="s">
        <v>62</v>
      </c>
      <c r="E3" s="156" t="s">
        <v>134</v>
      </c>
      <c r="F3" s="157">
        <v>0</v>
      </c>
      <c r="G3" s="157">
        <v>-816</v>
      </c>
      <c r="H3" s="156">
        <v>0</v>
      </c>
      <c r="I3" s="156">
        <v>0</v>
      </c>
      <c r="J3" s="156">
        <v>0</v>
      </c>
      <c r="K3" s="156">
        <v>0</v>
      </c>
      <c r="L3" s="156">
        <v>0</v>
      </c>
      <c r="M3" s="156">
        <v>0</v>
      </c>
      <c r="N3" s="156">
        <f>J3+K3+L3+M3</f>
        <v>0</v>
      </c>
      <c r="O3" s="156">
        <v>0</v>
      </c>
      <c r="P3" s="156">
        <v>0</v>
      </c>
      <c r="Q3" s="156">
        <v>0</v>
      </c>
      <c r="R3" s="156">
        <v>0</v>
      </c>
      <c r="S3" s="156">
        <v>0</v>
      </c>
      <c r="T3" s="156">
        <v>0</v>
      </c>
      <c r="U3" s="156">
        <v>0</v>
      </c>
      <c r="V3" s="156">
        <v>0</v>
      </c>
      <c r="W3" s="156">
        <v>0</v>
      </c>
      <c r="X3" s="156">
        <v>0</v>
      </c>
      <c r="Y3" s="156">
        <v>0</v>
      </c>
      <c r="Z3" s="156">
        <v>0</v>
      </c>
      <c r="AA3" s="156">
        <v>0</v>
      </c>
      <c r="AB3" s="156">
        <v>0</v>
      </c>
      <c r="AC3" s="156">
        <v>0</v>
      </c>
      <c r="AD3" s="156">
        <v>0</v>
      </c>
      <c r="AE3" s="156">
        <v>0</v>
      </c>
      <c r="AF3" s="156">
        <v>0</v>
      </c>
      <c r="AG3" s="156">
        <v>0</v>
      </c>
      <c r="AH3" s="156">
        <v>0</v>
      </c>
      <c r="AI3" s="156">
        <v>0</v>
      </c>
      <c r="AJ3" s="156">
        <v>0</v>
      </c>
      <c r="AK3" s="156">
        <v>0</v>
      </c>
      <c r="AL3" s="156">
        <v>0</v>
      </c>
      <c r="AM3" s="156">
        <v>0</v>
      </c>
      <c r="AN3" s="156">
        <v>0</v>
      </c>
      <c r="AO3" s="156">
        <v>0</v>
      </c>
      <c r="AP3" s="156">
        <v>0</v>
      </c>
      <c r="AQ3" s="156">
        <v>0</v>
      </c>
      <c r="AR3" s="156">
        <v>0</v>
      </c>
      <c r="AS3" s="156">
        <v>0</v>
      </c>
      <c r="AT3" s="156">
        <f>H3+I3+N3+O3+P3+Q3+T3+X3+Y3+Z3+AA3+AB3+AM3+AO3</f>
        <v>0</v>
      </c>
    </row>
    <row r="4" spans="1:46" ht="11.25" hidden="1" outlineLevel="3">
      <c r="A4" s="155" t="s">
        <v>145</v>
      </c>
      <c r="B4" s="155" t="s">
        <v>147</v>
      </c>
      <c r="C4" s="155" t="s">
        <v>133</v>
      </c>
      <c r="D4" s="156" t="s">
        <v>62</v>
      </c>
      <c r="E4" s="156" t="s">
        <v>134</v>
      </c>
      <c r="F4" s="157">
        <v>0</v>
      </c>
      <c r="G4" s="157">
        <v>-294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56">
        <f>J4+K4+L4+M4</f>
        <v>0</v>
      </c>
      <c r="O4" s="156">
        <v>0</v>
      </c>
      <c r="P4" s="156">
        <v>0</v>
      </c>
      <c r="Q4" s="156">
        <v>0</v>
      </c>
      <c r="R4" s="156">
        <v>0</v>
      </c>
      <c r="S4" s="156">
        <v>0</v>
      </c>
      <c r="T4" s="156">
        <v>0</v>
      </c>
      <c r="U4" s="156">
        <v>0</v>
      </c>
      <c r="V4" s="156">
        <v>0</v>
      </c>
      <c r="W4" s="156">
        <v>0</v>
      </c>
      <c r="X4" s="156">
        <v>0</v>
      </c>
      <c r="Y4" s="156">
        <v>0</v>
      </c>
      <c r="Z4" s="156">
        <v>0</v>
      </c>
      <c r="AA4" s="156">
        <v>0</v>
      </c>
      <c r="AB4" s="156">
        <v>0</v>
      </c>
      <c r="AC4" s="156">
        <v>0</v>
      </c>
      <c r="AD4" s="156">
        <v>0</v>
      </c>
      <c r="AE4" s="156">
        <v>0</v>
      </c>
      <c r="AF4" s="156">
        <v>0</v>
      </c>
      <c r="AG4" s="156">
        <v>0</v>
      </c>
      <c r="AH4" s="156">
        <v>0</v>
      </c>
      <c r="AI4" s="156">
        <v>0</v>
      </c>
      <c r="AJ4" s="156">
        <v>0</v>
      </c>
      <c r="AK4" s="156">
        <v>0</v>
      </c>
      <c r="AL4" s="156">
        <v>0</v>
      </c>
      <c r="AM4" s="156">
        <v>0</v>
      </c>
      <c r="AN4" s="156">
        <v>0</v>
      </c>
      <c r="AO4" s="156">
        <v>0</v>
      </c>
      <c r="AP4" s="156">
        <v>0</v>
      </c>
      <c r="AQ4" s="156">
        <v>0</v>
      </c>
      <c r="AR4" s="156">
        <v>0</v>
      </c>
      <c r="AS4" s="156">
        <v>0</v>
      </c>
      <c r="AT4" s="156">
        <f>H4+I4+N4+O4+P4+Q4+T4+X4+Y4+Z4+AA4+AB4+AM4+AO4</f>
        <v>0</v>
      </c>
    </row>
    <row r="5" spans="1:46" ht="11.25" outlineLevel="2" collapsed="1">
      <c r="D5" s="156"/>
      <c r="E5" s="156" t="s">
        <v>212</v>
      </c>
      <c r="F5" s="157">
        <v>0</v>
      </c>
      <c r="G5" s="157">
        <f t="shared" ref="G5:AT5" si="0">SUBTOTAL(9,G2:G4)</f>
        <v>-1372</v>
      </c>
      <c r="H5" s="156">
        <f t="shared" si="0"/>
        <v>-19.89</v>
      </c>
      <c r="I5" s="156">
        <f t="shared" si="0"/>
        <v>0</v>
      </c>
      <c r="J5" s="156">
        <f t="shared" si="0"/>
        <v>0</v>
      </c>
      <c r="K5" s="156">
        <f t="shared" si="0"/>
        <v>0</v>
      </c>
      <c r="L5" s="156">
        <f t="shared" si="0"/>
        <v>0</v>
      </c>
      <c r="M5" s="156">
        <f t="shared" si="0"/>
        <v>0</v>
      </c>
      <c r="N5" s="156">
        <f t="shared" si="0"/>
        <v>0</v>
      </c>
      <c r="O5" s="156">
        <f t="shared" si="0"/>
        <v>0</v>
      </c>
      <c r="P5" s="156">
        <f t="shared" si="0"/>
        <v>0</v>
      </c>
      <c r="Q5" s="156">
        <f t="shared" si="0"/>
        <v>0</v>
      </c>
      <c r="R5" s="156">
        <f t="shared" si="0"/>
        <v>0</v>
      </c>
      <c r="S5" s="156">
        <f t="shared" si="0"/>
        <v>0</v>
      </c>
      <c r="T5" s="156">
        <f t="shared" si="0"/>
        <v>0</v>
      </c>
      <c r="U5" s="156">
        <f t="shared" si="0"/>
        <v>0</v>
      </c>
      <c r="V5" s="156">
        <f t="shared" si="0"/>
        <v>0</v>
      </c>
      <c r="W5" s="156">
        <f t="shared" si="0"/>
        <v>0</v>
      </c>
      <c r="X5" s="156">
        <f t="shared" si="0"/>
        <v>0</v>
      </c>
      <c r="Y5" s="156">
        <f t="shared" si="0"/>
        <v>0</v>
      </c>
      <c r="Z5" s="156">
        <f t="shared" si="0"/>
        <v>0</v>
      </c>
      <c r="AA5" s="156">
        <f t="shared" si="0"/>
        <v>0</v>
      </c>
      <c r="AB5" s="156">
        <f t="shared" si="0"/>
        <v>0</v>
      </c>
      <c r="AC5" s="156">
        <f t="shared" si="0"/>
        <v>0</v>
      </c>
      <c r="AD5" s="156">
        <f t="shared" si="0"/>
        <v>0</v>
      </c>
      <c r="AE5" s="156">
        <f t="shared" si="0"/>
        <v>0</v>
      </c>
      <c r="AF5" s="156">
        <f t="shared" si="0"/>
        <v>0</v>
      </c>
      <c r="AG5" s="156">
        <f t="shared" si="0"/>
        <v>0</v>
      </c>
      <c r="AH5" s="156">
        <f t="shared" si="0"/>
        <v>0</v>
      </c>
      <c r="AI5" s="156">
        <f t="shared" si="0"/>
        <v>0</v>
      </c>
      <c r="AJ5" s="156">
        <f t="shared" si="0"/>
        <v>0</v>
      </c>
      <c r="AK5" s="156">
        <f t="shared" si="0"/>
        <v>0</v>
      </c>
      <c r="AL5" s="156">
        <f t="shared" si="0"/>
        <v>0</v>
      </c>
      <c r="AM5" s="156">
        <f t="shared" si="0"/>
        <v>0</v>
      </c>
      <c r="AN5" s="156">
        <f t="shared" si="0"/>
        <v>0</v>
      </c>
      <c r="AO5" s="156">
        <f t="shared" si="0"/>
        <v>0</v>
      </c>
      <c r="AP5" s="156">
        <f t="shared" si="0"/>
        <v>0</v>
      </c>
      <c r="AQ5" s="156">
        <f t="shared" si="0"/>
        <v>0</v>
      </c>
      <c r="AR5" s="156">
        <f t="shared" si="0"/>
        <v>0</v>
      </c>
      <c r="AS5" s="156">
        <f t="shared" si="0"/>
        <v>0</v>
      </c>
      <c r="AT5" s="156">
        <f t="shared" si="0"/>
        <v>-19.89</v>
      </c>
    </row>
    <row r="6" spans="1:46" ht="11.25" hidden="1" outlineLevel="3">
      <c r="A6" s="155" t="s">
        <v>131</v>
      </c>
      <c r="B6" s="155" t="s">
        <v>132</v>
      </c>
      <c r="C6" s="155" t="s">
        <v>135</v>
      </c>
      <c r="D6" s="156" t="s">
        <v>62</v>
      </c>
      <c r="E6" s="156" t="s">
        <v>136</v>
      </c>
      <c r="F6" s="157">
        <v>0</v>
      </c>
      <c r="G6" s="157">
        <v>15993</v>
      </c>
      <c r="H6" s="156">
        <v>2550.33</v>
      </c>
      <c r="I6" s="156">
        <v>6.31</v>
      </c>
      <c r="J6" s="156">
        <v>0</v>
      </c>
      <c r="K6" s="156">
        <v>0</v>
      </c>
      <c r="L6" s="156">
        <v>465.96</v>
      </c>
      <c r="M6" s="156">
        <v>0</v>
      </c>
      <c r="N6" s="156">
        <f t="shared" ref="N6:N23" si="1">J6+K6+L6+M6</f>
        <v>465.96</v>
      </c>
      <c r="O6" s="156">
        <v>21.7</v>
      </c>
      <c r="P6" s="156">
        <v>34.96</v>
      </c>
      <c r="Q6" s="156">
        <v>0</v>
      </c>
      <c r="R6" s="156">
        <v>0</v>
      </c>
      <c r="S6" s="156">
        <v>0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156">
        <v>31.6</v>
      </c>
      <c r="Z6" s="156">
        <v>0</v>
      </c>
      <c r="AA6" s="156">
        <v>0</v>
      </c>
      <c r="AB6" s="156">
        <v>0</v>
      </c>
      <c r="AC6" s="156">
        <v>0</v>
      </c>
      <c r="AD6" s="156">
        <v>0</v>
      </c>
      <c r="AE6" s="156">
        <v>0</v>
      </c>
      <c r="AF6" s="156">
        <v>0</v>
      </c>
      <c r="AG6" s="156">
        <v>0</v>
      </c>
      <c r="AH6" s="156">
        <v>0</v>
      </c>
      <c r="AI6" s="156">
        <v>0</v>
      </c>
      <c r="AJ6" s="156">
        <v>0</v>
      </c>
      <c r="AK6" s="156">
        <v>0</v>
      </c>
      <c r="AL6" s="156">
        <v>205.42</v>
      </c>
      <c r="AM6" s="156">
        <v>-533.78</v>
      </c>
      <c r="AN6" s="156">
        <v>0</v>
      </c>
      <c r="AO6" s="156">
        <v>0</v>
      </c>
      <c r="AP6" s="156">
        <v>0</v>
      </c>
      <c r="AQ6" s="156">
        <v>0</v>
      </c>
      <c r="AR6" s="156">
        <v>0</v>
      </c>
      <c r="AS6" s="156">
        <v>0</v>
      </c>
      <c r="AT6" s="156">
        <f t="shared" ref="AT6:AT23" si="2">H6+I6+N6+O6+P6+Q6+T6+X6+Y6+Z6+AA6+AB6+AM6+AO6</f>
        <v>2577.08</v>
      </c>
    </row>
    <row r="7" spans="1:46" ht="11.25" hidden="1" outlineLevel="3">
      <c r="A7" s="155" t="s">
        <v>131</v>
      </c>
      <c r="B7" s="155" t="s">
        <v>137</v>
      </c>
      <c r="C7" s="155" t="s">
        <v>135</v>
      </c>
      <c r="D7" s="156" t="s">
        <v>62</v>
      </c>
      <c r="E7" s="156" t="s">
        <v>136</v>
      </c>
      <c r="F7" s="157">
        <v>0</v>
      </c>
      <c r="G7" s="157">
        <v>62</v>
      </c>
      <c r="H7" s="156">
        <v>12.1</v>
      </c>
      <c r="I7" s="156">
        <v>0</v>
      </c>
      <c r="J7" s="156">
        <v>0</v>
      </c>
      <c r="K7" s="156">
        <v>0</v>
      </c>
      <c r="L7" s="156">
        <v>1.8</v>
      </c>
      <c r="M7" s="156">
        <v>0</v>
      </c>
      <c r="N7" s="156">
        <f t="shared" si="1"/>
        <v>1.8</v>
      </c>
      <c r="O7" s="156">
        <v>0.08</v>
      </c>
      <c r="P7" s="156">
        <v>0.14000000000000001</v>
      </c>
      <c r="Q7" s="156">
        <v>0</v>
      </c>
      <c r="R7" s="156">
        <v>0</v>
      </c>
      <c r="S7" s="156">
        <v>0</v>
      </c>
      <c r="T7" s="156">
        <v>0</v>
      </c>
      <c r="U7" s="156">
        <v>0</v>
      </c>
      <c r="V7" s="156">
        <v>0</v>
      </c>
      <c r="W7" s="156">
        <v>0</v>
      </c>
      <c r="X7" s="156">
        <v>0</v>
      </c>
      <c r="Y7" s="156">
        <v>0.12</v>
      </c>
      <c r="Z7" s="156">
        <v>0</v>
      </c>
      <c r="AA7" s="156">
        <v>0</v>
      </c>
      <c r="AB7" s="156">
        <v>0</v>
      </c>
      <c r="AC7" s="156">
        <v>0</v>
      </c>
      <c r="AD7" s="156">
        <v>0</v>
      </c>
      <c r="AE7" s="156">
        <v>0</v>
      </c>
      <c r="AF7" s="156">
        <v>0</v>
      </c>
      <c r="AG7" s="156">
        <v>0</v>
      </c>
      <c r="AH7" s="156">
        <v>0</v>
      </c>
      <c r="AI7" s="156">
        <v>0</v>
      </c>
      <c r="AJ7" s="156">
        <v>0</v>
      </c>
      <c r="AK7" s="156">
        <v>0</v>
      </c>
      <c r="AL7" s="156">
        <v>0.97</v>
      </c>
      <c r="AM7" s="156">
        <v>-2.6</v>
      </c>
      <c r="AN7" s="156">
        <v>0</v>
      </c>
      <c r="AO7" s="156">
        <v>0</v>
      </c>
      <c r="AP7" s="156">
        <v>0</v>
      </c>
      <c r="AQ7" s="156">
        <v>0</v>
      </c>
      <c r="AR7" s="156">
        <v>0</v>
      </c>
      <c r="AS7" s="156">
        <v>0</v>
      </c>
      <c r="AT7" s="156">
        <f t="shared" si="2"/>
        <v>11.64</v>
      </c>
    </row>
    <row r="8" spans="1:46" ht="11.25" hidden="1" outlineLevel="3">
      <c r="A8" s="155" t="s">
        <v>145</v>
      </c>
      <c r="B8" s="155" t="s">
        <v>146</v>
      </c>
      <c r="C8" s="155" t="s">
        <v>135</v>
      </c>
      <c r="D8" s="156" t="s">
        <v>62</v>
      </c>
      <c r="E8" s="156" t="s">
        <v>136</v>
      </c>
      <c r="F8" s="157">
        <v>0</v>
      </c>
      <c r="G8" s="157">
        <v>37161</v>
      </c>
      <c r="H8" s="156">
        <v>11360.98</v>
      </c>
      <c r="I8" s="156">
        <v>97.32</v>
      </c>
      <c r="J8" s="156">
        <v>0</v>
      </c>
      <c r="K8" s="156">
        <v>0</v>
      </c>
      <c r="L8" s="156">
        <v>0</v>
      </c>
      <c r="M8" s="156">
        <v>1087.55</v>
      </c>
      <c r="N8" s="156">
        <f t="shared" si="1"/>
        <v>1087.55</v>
      </c>
      <c r="O8" s="156">
        <v>0</v>
      </c>
      <c r="P8" s="156">
        <v>0</v>
      </c>
      <c r="Q8" s="156">
        <v>49.77</v>
      </c>
      <c r="R8" s="156">
        <v>0</v>
      </c>
      <c r="S8" s="156">
        <v>0</v>
      </c>
      <c r="T8" s="156">
        <v>0</v>
      </c>
      <c r="U8" s="156">
        <v>0</v>
      </c>
      <c r="V8" s="156">
        <v>0</v>
      </c>
      <c r="W8" s="156">
        <v>0</v>
      </c>
      <c r="X8" s="156">
        <v>0</v>
      </c>
      <c r="Y8" s="156">
        <v>0</v>
      </c>
      <c r="Z8" s="156">
        <v>0</v>
      </c>
      <c r="AA8" s="156">
        <v>0</v>
      </c>
      <c r="AB8" s="156">
        <v>0</v>
      </c>
      <c r="AC8" s="156">
        <v>0</v>
      </c>
      <c r="AD8" s="156">
        <v>0</v>
      </c>
      <c r="AE8" s="156">
        <v>0</v>
      </c>
      <c r="AF8" s="156">
        <v>0</v>
      </c>
      <c r="AG8" s="156">
        <v>0</v>
      </c>
      <c r="AH8" s="156">
        <v>0</v>
      </c>
      <c r="AI8" s="156">
        <v>71.489999999999995</v>
      </c>
      <c r="AJ8" s="156">
        <v>0</v>
      </c>
      <c r="AK8" s="156">
        <v>0</v>
      </c>
      <c r="AL8" s="156">
        <v>228.22</v>
      </c>
      <c r="AM8" s="156">
        <v>0</v>
      </c>
      <c r="AN8" s="156">
        <v>0</v>
      </c>
      <c r="AO8" s="156">
        <v>72.84</v>
      </c>
      <c r="AP8" s="156">
        <v>0</v>
      </c>
      <c r="AQ8" s="156">
        <v>0</v>
      </c>
      <c r="AR8" s="156">
        <v>0</v>
      </c>
      <c r="AS8" s="156">
        <v>0</v>
      </c>
      <c r="AT8" s="156">
        <f t="shared" si="2"/>
        <v>12668.46</v>
      </c>
    </row>
    <row r="9" spans="1:46" ht="11.25" hidden="1" outlineLevel="3">
      <c r="A9" s="155" t="s">
        <v>145</v>
      </c>
      <c r="B9" s="155" t="s">
        <v>147</v>
      </c>
      <c r="C9" s="155" t="s">
        <v>135</v>
      </c>
      <c r="D9" s="156" t="s">
        <v>62</v>
      </c>
      <c r="E9" s="156" t="s">
        <v>136</v>
      </c>
      <c r="F9" s="157">
        <v>0</v>
      </c>
      <c r="G9" s="157">
        <v>14723</v>
      </c>
      <c r="H9" s="156">
        <v>4880.0600000000004</v>
      </c>
      <c r="I9" s="156">
        <v>0</v>
      </c>
      <c r="J9" s="156">
        <v>0</v>
      </c>
      <c r="K9" s="156">
        <v>0</v>
      </c>
      <c r="L9" s="156">
        <v>0</v>
      </c>
      <c r="M9" s="156">
        <v>431</v>
      </c>
      <c r="N9" s="156">
        <f t="shared" si="1"/>
        <v>431</v>
      </c>
      <c r="O9" s="156">
        <v>0</v>
      </c>
      <c r="P9" s="156">
        <v>0</v>
      </c>
      <c r="Q9" s="156">
        <v>19.55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0</v>
      </c>
      <c r="AF9" s="156">
        <v>0</v>
      </c>
      <c r="AG9" s="156">
        <v>0</v>
      </c>
      <c r="AH9" s="156">
        <v>0</v>
      </c>
      <c r="AI9" s="156">
        <v>30.86</v>
      </c>
      <c r="AJ9" s="156">
        <v>0</v>
      </c>
      <c r="AK9" s="156">
        <v>0</v>
      </c>
      <c r="AL9" s="156">
        <v>94.77</v>
      </c>
      <c r="AM9" s="156">
        <v>0</v>
      </c>
      <c r="AN9" s="156">
        <v>0</v>
      </c>
      <c r="AO9" s="156">
        <v>28.69</v>
      </c>
      <c r="AP9" s="156">
        <v>0</v>
      </c>
      <c r="AQ9" s="156">
        <v>0</v>
      </c>
      <c r="AR9" s="156">
        <v>0</v>
      </c>
      <c r="AS9" s="156">
        <v>0</v>
      </c>
      <c r="AT9" s="156">
        <f t="shared" si="2"/>
        <v>5359.3</v>
      </c>
    </row>
    <row r="10" spans="1:46" ht="11.25" hidden="1" outlineLevel="3">
      <c r="A10" s="155" t="s">
        <v>152</v>
      </c>
      <c r="B10" s="155" t="s">
        <v>153</v>
      </c>
      <c r="C10" s="155" t="s">
        <v>135</v>
      </c>
      <c r="D10" s="156" t="s">
        <v>62</v>
      </c>
      <c r="E10" s="156" t="s">
        <v>136</v>
      </c>
      <c r="F10" s="157">
        <v>0</v>
      </c>
      <c r="G10" s="157">
        <v>55423</v>
      </c>
      <c r="H10" s="156">
        <v>20667.97</v>
      </c>
      <c r="I10" s="156">
        <v>0</v>
      </c>
      <c r="J10" s="156">
        <v>0</v>
      </c>
      <c r="K10" s="156">
        <v>60.6</v>
      </c>
      <c r="L10" s="156">
        <v>0</v>
      </c>
      <c r="M10" s="156">
        <v>0</v>
      </c>
      <c r="N10" s="156">
        <f t="shared" si="1"/>
        <v>60.6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56">
        <v>0</v>
      </c>
      <c r="AE10" s="156">
        <v>0</v>
      </c>
      <c r="AF10" s="156">
        <v>0</v>
      </c>
      <c r="AG10" s="156">
        <v>0</v>
      </c>
      <c r="AH10" s="156">
        <v>0</v>
      </c>
      <c r="AI10" s="156">
        <v>57.78</v>
      </c>
      <c r="AJ10" s="156">
        <v>0</v>
      </c>
      <c r="AK10" s="156">
        <v>-4.55</v>
      </c>
      <c r="AL10" s="156">
        <v>64.06</v>
      </c>
      <c r="AM10" s="156">
        <v>-607.32000000000005</v>
      </c>
      <c r="AN10" s="156">
        <v>0</v>
      </c>
      <c r="AO10" s="156">
        <v>0</v>
      </c>
      <c r="AP10" s="156">
        <v>0</v>
      </c>
      <c r="AQ10" s="156">
        <v>0</v>
      </c>
      <c r="AR10" s="156">
        <v>0</v>
      </c>
      <c r="AS10" s="156">
        <v>0</v>
      </c>
      <c r="AT10" s="156">
        <f t="shared" si="2"/>
        <v>20121.25</v>
      </c>
    </row>
    <row r="11" spans="1:46" ht="11.25" hidden="1" outlineLevel="3">
      <c r="A11" s="155" t="s">
        <v>152</v>
      </c>
      <c r="B11" s="155" t="s">
        <v>154</v>
      </c>
      <c r="C11" s="155" t="s">
        <v>135</v>
      </c>
      <c r="D11" s="156" t="s">
        <v>62</v>
      </c>
      <c r="E11" s="156" t="s">
        <v>136</v>
      </c>
      <c r="F11" s="157">
        <v>0</v>
      </c>
      <c r="G11" s="157">
        <v>42312</v>
      </c>
      <c r="H11" s="156">
        <v>15957.47</v>
      </c>
      <c r="I11" s="156">
        <v>55.14</v>
      </c>
      <c r="J11" s="156">
        <v>0</v>
      </c>
      <c r="K11" s="156">
        <v>60.02</v>
      </c>
      <c r="L11" s="156">
        <v>0</v>
      </c>
      <c r="M11" s="156">
        <v>0</v>
      </c>
      <c r="N11" s="156">
        <f t="shared" si="1"/>
        <v>60.02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33.020000000000003</v>
      </c>
      <c r="AJ11" s="156">
        <v>0</v>
      </c>
      <c r="AK11" s="156">
        <v>-1.54</v>
      </c>
      <c r="AL11" s="156">
        <v>253.68</v>
      </c>
      <c r="AM11" s="156">
        <v>-463.47</v>
      </c>
      <c r="AN11" s="156">
        <v>0</v>
      </c>
      <c r="AO11" s="156">
        <v>0</v>
      </c>
      <c r="AP11" s="156">
        <v>0</v>
      </c>
      <c r="AQ11" s="156">
        <v>0</v>
      </c>
      <c r="AR11" s="156">
        <v>0</v>
      </c>
      <c r="AS11" s="156">
        <v>0</v>
      </c>
      <c r="AT11" s="156">
        <f t="shared" si="2"/>
        <v>15609.16</v>
      </c>
    </row>
    <row r="12" spans="1:46" ht="11.25" hidden="1" outlineLevel="3">
      <c r="A12" s="155" t="s">
        <v>152</v>
      </c>
      <c r="B12" s="155" t="s">
        <v>155</v>
      </c>
      <c r="C12" s="155" t="s">
        <v>135</v>
      </c>
      <c r="D12" s="156" t="s">
        <v>62</v>
      </c>
      <c r="E12" s="156" t="s">
        <v>136</v>
      </c>
      <c r="F12" s="157">
        <v>0</v>
      </c>
      <c r="G12" s="157">
        <v>24678</v>
      </c>
      <c r="H12" s="156">
        <v>9816.7000000000007</v>
      </c>
      <c r="I12" s="156">
        <v>0</v>
      </c>
      <c r="J12" s="156">
        <v>0</v>
      </c>
      <c r="K12" s="156">
        <v>18.23</v>
      </c>
      <c r="L12" s="156">
        <v>0</v>
      </c>
      <c r="M12" s="156">
        <v>0</v>
      </c>
      <c r="N12" s="156">
        <f t="shared" si="1"/>
        <v>18.23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0</v>
      </c>
      <c r="AH12" s="156">
        <v>0</v>
      </c>
      <c r="AI12" s="156">
        <v>18.7</v>
      </c>
      <c r="AJ12" s="156">
        <v>0</v>
      </c>
      <c r="AK12" s="156">
        <v>0</v>
      </c>
      <c r="AL12" s="156">
        <v>51.09</v>
      </c>
      <c r="AM12" s="156">
        <v>-270.64</v>
      </c>
      <c r="AN12" s="156">
        <v>0</v>
      </c>
      <c r="AO12" s="156">
        <v>0</v>
      </c>
      <c r="AP12" s="156">
        <v>0</v>
      </c>
      <c r="AQ12" s="156">
        <v>0</v>
      </c>
      <c r="AR12" s="156">
        <v>0</v>
      </c>
      <c r="AS12" s="156">
        <v>0</v>
      </c>
      <c r="AT12" s="156">
        <f t="shared" si="2"/>
        <v>9564.2900000000009</v>
      </c>
    </row>
    <row r="13" spans="1:46" ht="11.25" hidden="1" outlineLevel="3">
      <c r="A13" s="155" t="s">
        <v>152</v>
      </c>
      <c r="B13" s="155" t="s">
        <v>156</v>
      </c>
      <c r="C13" s="155" t="s">
        <v>135</v>
      </c>
      <c r="D13" s="156" t="s">
        <v>62</v>
      </c>
      <c r="E13" s="156" t="s">
        <v>136</v>
      </c>
      <c r="F13" s="157">
        <v>0</v>
      </c>
      <c r="G13" s="157">
        <v>31</v>
      </c>
      <c r="H13" s="156">
        <v>15.08</v>
      </c>
      <c r="I13" s="156">
        <v>0.3</v>
      </c>
      <c r="J13" s="156">
        <v>0</v>
      </c>
      <c r="K13" s="156">
        <v>0.03</v>
      </c>
      <c r="L13" s="156">
        <v>0</v>
      </c>
      <c r="M13" s="156">
        <v>0</v>
      </c>
      <c r="N13" s="156">
        <f t="shared" si="1"/>
        <v>0.03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56">
        <v>0</v>
      </c>
      <c r="AH13" s="156">
        <v>0</v>
      </c>
      <c r="AI13" s="156">
        <v>0</v>
      </c>
      <c r="AJ13" s="156">
        <v>0</v>
      </c>
      <c r="AK13" s="156">
        <v>0</v>
      </c>
      <c r="AL13" s="156">
        <v>0.45</v>
      </c>
      <c r="AM13" s="156">
        <v>-0.34</v>
      </c>
      <c r="AN13" s="156">
        <v>0</v>
      </c>
      <c r="AO13" s="156">
        <v>0</v>
      </c>
      <c r="AP13" s="156">
        <v>0</v>
      </c>
      <c r="AQ13" s="156">
        <v>0</v>
      </c>
      <c r="AR13" s="156">
        <v>0</v>
      </c>
      <c r="AS13" s="156">
        <v>0</v>
      </c>
      <c r="AT13" s="156">
        <f t="shared" si="2"/>
        <v>15.07</v>
      </c>
    </row>
    <row r="14" spans="1:46" ht="11.25" hidden="1" outlineLevel="3">
      <c r="A14" s="155" t="s">
        <v>152</v>
      </c>
      <c r="B14" s="155" t="s">
        <v>132</v>
      </c>
      <c r="C14" s="155" t="s">
        <v>135</v>
      </c>
      <c r="D14" s="156" t="s">
        <v>62</v>
      </c>
      <c r="E14" s="156" t="s">
        <v>136</v>
      </c>
      <c r="F14" s="157">
        <v>0</v>
      </c>
      <c r="G14" s="157">
        <v>62</v>
      </c>
      <c r="H14" s="156">
        <v>29.16</v>
      </c>
      <c r="I14" s="156">
        <v>0</v>
      </c>
      <c r="J14" s="156">
        <v>0</v>
      </c>
      <c r="K14" s="156">
        <v>-0.02</v>
      </c>
      <c r="L14" s="156">
        <v>0</v>
      </c>
      <c r="M14" s="156">
        <v>0</v>
      </c>
      <c r="N14" s="156">
        <f t="shared" si="1"/>
        <v>-0.02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56">
        <v>0</v>
      </c>
      <c r="AH14" s="156">
        <v>0</v>
      </c>
      <c r="AI14" s="156">
        <v>0.22</v>
      </c>
      <c r="AJ14" s="156">
        <v>0</v>
      </c>
      <c r="AK14" s="156">
        <v>0</v>
      </c>
      <c r="AL14" s="156">
        <v>0.42</v>
      </c>
      <c r="AM14" s="156">
        <v>-0.68</v>
      </c>
      <c r="AN14" s="156">
        <v>0</v>
      </c>
      <c r="AO14" s="156">
        <v>0</v>
      </c>
      <c r="AP14" s="156">
        <v>0</v>
      </c>
      <c r="AQ14" s="156">
        <v>0</v>
      </c>
      <c r="AR14" s="156">
        <v>0</v>
      </c>
      <c r="AS14" s="156">
        <v>0</v>
      </c>
      <c r="AT14" s="156">
        <f t="shared" si="2"/>
        <v>28.46</v>
      </c>
    </row>
    <row r="15" spans="1:46" ht="11.25" hidden="1" outlineLevel="3">
      <c r="A15" s="155" t="s">
        <v>152</v>
      </c>
      <c r="B15" s="155" t="s">
        <v>157</v>
      </c>
      <c r="C15" s="155" t="s">
        <v>135</v>
      </c>
      <c r="D15" s="156" t="s">
        <v>62</v>
      </c>
      <c r="E15" s="156" t="s">
        <v>136</v>
      </c>
      <c r="F15" s="157">
        <v>0</v>
      </c>
      <c r="G15" s="157">
        <v>57274</v>
      </c>
      <c r="H15" s="156">
        <v>20853.580000000002</v>
      </c>
      <c r="I15" s="156">
        <v>474.28</v>
      </c>
      <c r="J15" s="156">
        <v>0</v>
      </c>
      <c r="K15" s="156">
        <v>64.52</v>
      </c>
      <c r="L15" s="156">
        <v>0</v>
      </c>
      <c r="M15" s="156">
        <v>0</v>
      </c>
      <c r="N15" s="156">
        <f t="shared" si="1"/>
        <v>64.52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6">
        <v>0</v>
      </c>
      <c r="AB15" s="156">
        <v>0</v>
      </c>
      <c r="AC15" s="156">
        <v>0</v>
      </c>
      <c r="AD15" s="156">
        <v>0</v>
      </c>
      <c r="AE15" s="156">
        <v>0</v>
      </c>
      <c r="AF15" s="156">
        <v>0</v>
      </c>
      <c r="AG15" s="156">
        <v>0</v>
      </c>
      <c r="AH15" s="156">
        <v>0</v>
      </c>
      <c r="AI15" s="156">
        <v>35.049999999999997</v>
      </c>
      <c r="AJ15" s="156">
        <v>0</v>
      </c>
      <c r="AK15" s="156">
        <v>0</v>
      </c>
      <c r="AL15" s="156">
        <v>82.56</v>
      </c>
      <c r="AM15" s="156">
        <v>-627.91</v>
      </c>
      <c r="AN15" s="156">
        <v>0</v>
      </c>
      <c r="AO15" s="156">
        <v>0</v>
      </c>
      <c r="AP15" s="156">
        <v>0</v>
      </c>
      <c r="AQ15" s="156">
        <v>0</v>
      </c>
      <c r="AR15" s="156">
        <v>0</v>
      </c>
      <c r="AS15" s="156">
        <v>0</v>
      </c>
      <c r="AT15" s="156">
        <f t="shared" si="2"/>
        <v>20764.47</v>
      </c>
    </row>
    <row r="16" spans="1:46" ht="11.25" hidden="1" outlineLevel="3">
      <c r="A16" s="155" t="s">
        <v>152</v>
      </c>
      <c r="B16" s="155" t="s">
        <v>137</v>
      </c>
      <c r="C16" s="155" t="s">
        <v>135</v>
      </c>
      <c r="D16" s="156" t="s">
        <v>62</v>
      </c>
      <c r="E16" s="156" t="s">
        <v>136</v>
      </c>
      <c r="F16" s="157">
        <v>0</v>
      </c>
      <c r="G16" s="157">
        <v>64874</v>
      </c>
      <c r="H16" s="156">
        <v>24285.29</v>
      </c>
      <c r="I16" s="156">
        <v>60.51</v>
      </c>
      <c r="J16" s="156">
        <v>0</v>
      </c>
      <c r="K16" s="156">
        <v>60.23</v>
      </c>
      <c r="L16" s="156">
        <v>0</v>
      </c>
      <c r="M16" s="156">
        <v>0</v>
      </c>
      <c r="N16" s="156">
        <f t="shared" si="1"/>
        <v>60.23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  <c r="U16" s="156">
        <v>0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56.12</v>
      </c>
      <c r="AJ16" s="156">
        <v>0</v>
      </c>
      <c r="AK16" s="156">
        <v>0</v>
      </c>
      <c r="AL16" s="156">
        <v>375.3</v>
      </c>
      <c r="AM16" s="156">
        <v>-711.21</v>
      </c>
      <c r="AN16" s="156">
        <v>0</v>
      </c>
      <c r="AO16" s="156">
        <v>0</v>
      </c>
      <c r="AP16" s="156">
        <v>0</v>
      </c>
      <c r="AQ16" s="156">
        <v>0</v>
      </c>
      <c r="AR16" s="156">
        <v>0</v>
      </c>
      <c r="AS16" s="156">
        <v>0</v>
      </c>
      <c r="AT16" s="156">
        <f t="shared" si="2"/>
        <v>23694.82</v>
      </c>
    </row>
    <row r="17" spans="1:46" ht="11.25" hidden="1" outlineLevel="3">
      <c r="A17" s="155" t="s">
        <v>152</v>
      </c>
      <c r="B17" s="155" t="s">
        <v>158</v>
      </c>
      <c r="C17" s="155" t="s">
        <v>135</v>
      </c>
      <c r="D17" s="156" t="s">
        <v>62</v>
      </c>
      <c r="E17" s="156" t="s">
        <v>136</v>
      </c>
      <c r="F17" s="157">
        <v>0</v>
      </c>
      <c r="G17" s="157">
        <v>27634</v>
      </c>
      <c r="H17" s="156">
        <v>10401.56</v>
      </c>
      <c r="I17" s="156">
        <v>38.18</v>
      </c>
      <c r="J17" s="156">
        <v>0</v>
      </c>
      <c r="K17" s="156">
        <v>17.190000000000001</v>
      </c>
      <c r="L17" s="156">
        <v>0</v>
      </c>
      <c r="M17" s="156">
        <v>0</v>
      </c>
      <c r="N17" s="156">
        <f t="shared" si="1"/>
        <v>17.190000000000001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15.18</v>
      </c>
      <c r="AJ17" s="156">
        <v>0</v>
      </c>
      <c r="AK17" s="156">
        <v>0</v>
      </c>
      <c r="AL17" s="156">
        <v>61.5</v>
      </c>
      <c r="AM17" s="156">
        <v>-302.93</v>
      </c>
      <c r="AN17" s="156">
        <v>0</v>
      </c>
      <c r="AO17" s="156">
        <v>0</v>
      </c>
      <c r="AP17" s="156">
        <v>0</v>
      </c>
      <c r="AQ17" s="156">
        <v>0</v>
      </c>
      <c r="AR17" s="156">
        <v>0</v>
      </c>
      <c r="AS17" s="156">
        <v>0</v>
      </c>
      <c r="AT17" s="156">
        <f t="shared" si="2"/>
        <v>10154</v>
      </c>
    </row>
    <row r="18" spans="1:46" ht="11.25" hidden="1" outlineLevel="3">
      <c r="A18" s="155" t="s">
        <v>152</v>
      </c>
      <c r="B18" s="155" t="s">
        <v>161</v>
      </c>
      <c r="C18" s="155" t="s">
        <v>135</v>
      </c>
      <c r="D18" s="156" t="s">
        <v>62</v>
      </c>
      <c r="E18" s="156" t="s">
        <v>136</v>
      </c>
      <c r="F18" s="157">
        <v>0</v>
      </c>
      <c r="G18" s="157">
        <v>65</v>
      </c>
      <c r="H18" s="156">
        <v>15.79</v>
      </c>
      <c r="I18" s="156">
        <v>0</v>
      </c>
      <c r="J18" s="156">
        <v>0</v>
      </c>
      <c r="K18" s="156">
        <v>-0.04</v>
      </c>
      <c r="L18" s="156">
        <v>0</v>
      </c>
      <c r="M18" s="156">
        <v>0</v>
      </c>
      <c r="N18" s="156">
        <f t="shared" si="1"/>
        <v>-0.04</v>
      </c>
      <c r="O18" s="156">
        <v>0</v>
      </c>
      <c r="P18" s="156">
        <v>0</v>
      </c>
      <c r="Q18" s="156">
        <v>0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  <c r="Y18" s="156">
        <v>0</v>
      </c>
      <c r="Z18" s="156">
        <v>0</v>
      </c>
      <c r="AA18" s="156">
        <v>0</v>
      </c>
      <c r="AB18" s="156">
        <v>0</v>
      </c>
      <c r="AC18" s="156">
        <v>0</v>
      </c>
      <c r="AD18" s="156">
        <v>0</v>
      </c>
      <c r="AE18" s="156">
        <v>0</v>
      </c>
      <c r="AF18" s="156">
        <v>0</v>
      </c>
      <c r="AG18" s="156">
        <v>0</v>
      </c>
      <c r="AH18" s="156">
        <v>0</v>
      </c>
      <c r="AI18" s="156">
        <v>0.08</v>
      </c>
      <c r="AJ18" s="156">
        <v>0</v>
      </c>
      <c r="AK18" s="156">
        <v>0</v>
      </c>
      <c r="AL18" s="156">
        <v>0</v>
      </c>
      <c r="AM18" s="156">
        <v>-0.71</v>
      </c>
      <c r="AN18" s="156">
        <v>0</v>
      </c>
      <c r="AO18" s="156">
        <v>0</v>
      </c>
      <c r="AP18" s="156">
        <v>0</v>
      </c>
      <c r="AQ18" s="156">
        <v>0</v>
      </c>
      <c r="AR18" s="156">
        <v>0</v>
      </c>
      <c r="AS18" s="156">
        <v>0</v>
      </c>
      <c r="AT18" s="156">
        <f t="shared" si="2"/>
        <v>15.04</v>
      </c>
    </row>
    <row r="19" spans="1:46" ht="11.25" hidden="1" outlineLevel="3">
      <c r="A19" s="155" t="s">
        <v>152</v>
      </c>
      <c r="B19" s="155" t="s">
        <v>159</v>
      </c>
      <c r="C19" s="155" t="s">
        <v>135</v>
      </c>
      <c r="D19" s="156" t="s">
        <v>62</v>
      </c>
      <c r="E19" s="156" t="s">
        <v>136</v>
      </c>
      <c r="F19" s="157">
        <v>0</v>
      </c>
      <c r="G19" s="157">
        <v>6105</v>
      </c>
      <c r="H19" s="156">
        <v>2100.87</v>
      </c>
      <c r="I19" s="156">
        <v>0</v>
      </c>
      <c r="J19" s="156">
        <v>0</v>
      </c>
      <c r="K19" s="156">
        <v>10.14</v>
      </c>
      <c r="L19" s="156">
        <v>0</v>
      </c>
      <c r="M19" s="156">
        <v>0</v>
      </c>
      <c r="N19" s="156">
        <f t="shared" si="1"/>
        <v>10.14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  <c r="Y19" s="156">
        <v>0</v>
      </c>
      <c r="Z19" s="156">
        <v>0</v>
      </c>
      <c r="AA19" s="156">
        <v>0</v>
      </c>
      <c r="AB19" s="156">
        <v>0</v>
      </c>
      <c r="AC19" s="156">
        <v>0</v>
      </c>
      <c r="AD19" s="156">
        <v>0</v>
      </c>
      <c r="AE19" s="156">
        <v>0</v>
      </c>
      <c r="AF19" s="156">
        <v>0</v>
      </c>
      <c r="AG19" s="156">
        <v>0</v>
      </c>
      <c r="AH19" s="156">
        <v>0</v>
      </c>
      <c r="AI19" s="156">
        <v>5.86</v>
      </c>
      <c r="AJ19" s="156">
        <v>0</v>
      </c>
      <c r="AK19" s="156">
        <v>0</v>
      </c>
      <c r="AL19" s="156">
        <v>14.24</v>
      </c>
      <c r="AM19" s="156">
        <v>-66.510000000000005</v>
      </c>
      <c r="AN19" s="156">
        <v>0</v>
      </c>
      <c r="AO19" s="156">
        <v>0</v>
      </c>
      <c r="AP19" s="156">
        <v>0</v>
      </c>
      <c r="AQ19" s="156">
        <v>0</v>
      </c>
      <c r="AR19" s="156">
        <v>0</v>
      </c>
      <c r="AS19" s="156">
        <v>0</v>
      </c>
      <c r="AT19" s="156">
        <f t="shared" si="2"/>
        <v>2044.4999999999998</v>
      </c>
    </row>
    <row r="20" spans="1:46" ht="11.25" hidden="1" outlineLevel="3">
      <c r="A20" s="155" t="s">
        <v>152</v>
      </c>
      <c r="B20" s="155" t="s">
        <v>160</v>
      </c>
      <c r="C20" s="155" t="s">
        <v>135</v>
      </c>
      <c r="D20" s="156" t="s">
        <v>62</v>
      </c>
      <c r="E20" s="156" t="s">
        <v>136</v>
      </c>
      <c r="F20" s="157">
        <v>0</v>
      </c>
      <c r="G20" s="157">
        <v>66240</v>
      </c>
      <c r="H20" s="156">
        <v>24820.32</v>
      </c>
      <c r="I20" s="156">
        <v>14.97</v>
      </c>
      <c r="J20" s="156">
        <v>0</v>
      </c>
      <c r="K20" s="156">
        <v>71.84</v>
      </c>
      <c r="L20" s="156">
        <v>0</v>
      </c>
      <c r="M20" s="156">
        <v>0</v>
      </c>
      <c r="N20" s="156">
        <f t="shared" si="1"/>
        <v>71.84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  <c r="T20" s="156">
        <v>0</v>
      </c>
      <c r="U20" s="156">
        <v>0</v>
      </c>
      <c r="V20" s="156">
        <v>0</v>
      </c>
      <c r="W20" s="156">
        <v>0</v>
      </c>
      <c r="X20" s="156">
        <v>0</v>
      </c>
      <c r="Y20" s="156">
        <v>0</v>
      </c>
      <c r="Z20" s="156">
        <v>0</v>
      </c>
      <c r="AA20" s="156">
        <v>0</v>
      </c>
      <c r="AB20" s="156">
        <v>0</v>
      </c>
      <c r="AC20" s="156">
        <v>0</v>
      </c>
      <c r="AD20" s="156">
        <v>0</v>
      </c>
      <c r="AE20" s="156">
        <v>0</v>
      </c>
      <c r="AF20" s="156">
        <v>0</v>
      </c>
      <c r="AG20" s="156">
        <v>0</v>
      </c>
      <c r="AH20" s="156">
        <v>0</v>
      </c>
      <c r="AI20" s="156">
        <v>52.63</v>
      </c>
      <c r="AJ20" s="156">
        <v>0</v>
      </c>
      <c r="AK20" s="156">
        <v>-2.5099999999999998</v>
      </c>
      <c r="AL20" s="156">
        <v>50.73</v>
      </c>
      <c r="AM20" s="156">
        <v>-725.93</v>
      </c>
      <c r="AN20" s="156">
        <v>0</v>
      </c>
      <c r="AO20" s="156">
        <v>0</v>
      </c>
      <c r="AP20" s="156">
        <v>0</v>
      </c>
      <c r="AQ20" s="156">
        <v>0</v>
      </c>
      <c r="AR20" s="156">
        <v>0</v>
      </c>
      <c r="AS20" s="156">
        <v>0</v>
      </c>
      <c r="AT20" s="156">
        <f t="shared" si="2"/>
        <v>24181.200000000001</v>
      </c>
    </row>
    <row r="21" spans="1:46" ht="11.25" hidden="1" outlineLevel="3">
      <c r="A21" s="155" t="s">
        <v>167</v>
      </c>
      <c r="B21" s="155" t="s">
        <v>146</v>
      </c>
      <c r="C21" s="155" t="s">
        <v>135</v>
      </c>
      <c r="D21" s="156" t="s">
        <v>62</v>
      </c>
      <c r="E21" s="156" t="s">
        <v>136</v>
      </c>
      <c r="F21" s="157">
        <v>0</v>
      </c>
      <c r="G21" s="157">
        <v>33957</v>
      </c>
      <c r="H21" s="156">
        <v>8381.25</v>
      </c>
      <c r="I21" s="156">
        <v>0</v>
      </c>
      <c r="J21" s="156">
        <v>932.58</v>
      </c>
      <c r="K21" s="156">
        <v>0</v>
      </c>
      <c r="L21" s="156">
        <v>0</v>
      </c>
      <c r="M21" s="156">
        <v>0</v>
      </c>
      <c r="N21" s="156">
        <f t="shared" si="1"/>
        <v>932.58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  <c r="T21" s="156">
        <v>0</v>
      </c>
      <c r="U21" s="156">
        <v>0</v>
      </c>
      <c r="V21" s="156">
        <v>0</v>
      </c>
      <c r="W21" s="156">
        <v>0</v>
      </c>
      <c r="X21" s="156">
        <v>3.04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56">
        <v>0</v>
      </c>
      <c r="AG21" s="156">
        <v>0</v>
      </c>
      <c r="AH21" s="156">
        <v>0</v>
      </c>
      <c r="AI21" s="156">
        <v>60.68</v>
      </c>
      <c r="AJ21" s="156">
        <v>0</v>
      </c>
      <c r="AK21" s="156">
        <v>0</v>
      </c>
      <c r="AL21" s="156">
        <v>219.24</v>
      </c>
      <c r="AM21" s="156">
        <v>0</v>
      </c>
      <c r="AN21" s="156">
        <v>0</v>
      </c>
      <c r="AO21" s="156">
        <v>0</v>
      </c>
      <c r="AP21" s="156">
        <v>0</v>
      </c>
      <c r="AQ21" s="156">
        <v>0</v>
      </c>
      <c r="AR21" s="156">
        <v>0</v>
      </c>
      <c r="AS21" s="156">
        <v>0</v>
      </c>
      <c r="AT21" s="156">
        <f t="shared" si="2"/>
        <v>9316.8700000000008</v>
      </c>
    </row>
    <row r="22" spans="1:46" ht="11.25" hidden="1" outlineLevel="3">
      <c r="A22" s="155" t="s">
        <v>167</v>
      </c>
      <c r="B22" s="155" t="s">
        <v>132</v>
      </c>
      <c r="C22" s="155" t="s">
        <v>135</v>
      </c>
      <c r="D22" s="156" t="s">
        <v>62</v>
      </c>
      <c r="E22" s="156" t="s">
        <v>136</v>
      </c>
      <c r="F22" s="157">
        <v>0</v>
      </c>
      <c r="G22" s="157">
        <v>31</v>
      </c>
      <c r="H22" s="156">
        <v>9.44</v>
      </c>
      <c r="I22" s="156">
        <v>0</v>
      </c>
      <c r="J22" s="156">
        <v>0.85</v>
      </c>
      <c r="K22" s="156">
        <v>0</v>
      </c>
      <c r="L22" s="156">
        <v>0</v>
      </c>
      <c r="M22" s="156">
        <v>0</v>
      </c>
      <c r="N22" s="156">
        <f t="shared" si="1"/>
        <v>0.85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0</v>
      </c>
      <c r="AI22" s="156">
        <v>0.16</v>
      </c>
      <c r="AJ22" s="156">
        <v>0</v>
      </c>
      <c r="AK22" s="156">
        <v>0</v>
      </c>
      <c r="AL22" s="156">
        <v>0.14000000000000001</v>
      </c>
      <c r="AM22" s="156">
        <v>0</v>
      </c>
      <c r="AN22" s="156">
        <v>0</v>
      </c>
      <c r="AO22" s="156">
        <v>0</v>
      </c>
      <c r="AP22" s="156">
        <v>0</v>
      </c>
      <c r="AQ22" s="156">
        <v>0</v>
      </c>
      <c r="AR22" s="156">
        <v>0</v>
      </c>
      <c r="AS22" s="156">
        <v>0</v>
      </c>
      <c r="AT22" s="156">
        <f t="shared" si="2"/>
        <v>10.29</v>
      </c>
    </row>
    <row r="23" spans="1:46" ht="11.25" hidden="1" outlineLevel="3">
      <c r="A23" s="155" t="s">
        <v>167</v>
      </c>
      <c r="B23" s="155" t="s">
        <v>137</v>
      </c>
      <c r="C23" s="155" t="s">
        <v>135</v>
      </c>
      <c r="D23" s="156" t="s">
        <v>62</v>
      </c>
      <c r="E23" s="156" t="s">
        <v>136</v>
      </c>
      <c r="F23" s="157">
        <v>0</v>
      </c>
      <c r="G23" s="157">
        <v>161</v>
      </c>
      <c r="H23" s="156">
        <v>30.34</v>
      </c>
      <c r="I23" s="156">
        <v>0</v>
      </c>
      <c r="J23" s="156">
        <v>4.43</v>
      </c>
      <c r="K23" s="156">
        <v>0</v>
      </c>
      <c r="L23" s="156">
        <v>0</v>
      </c>
      <c r="M23" s="156">
        <v>0</v>
      </c>
      <c r="N23" s="156">
        <f t="shared" si="1"/>
        <v>4.43</v>
      </c>
      <c r="O23" s="156">
        <v>0</v>
      </c>
      <c r="P23" s="156">
        <v>0</v>
      </c>
      <c r="Q23" s="156">
        <v>0</v>
      </c>
      <c r="R23" s="156">
        <v>0</v>
      </c>
      <c r="S23" s="156">
        <v>0</v>
      </c>
      <c r="T23" s="156">
        <v>0</v>
      </c>
      <c r="U23" s="156">
        <v>0</v>
      </c>
      <c r="V23" s="156">
        <v>0</v>
      </c>
      <c r="W23" s="156">
        <v>0</v>
      </c>
      <c r="X23" s="156">
        <v>0.02</v>
      </c>
      <c r="Y23" s="156">
        <v>0</v>
      </c>
      <c r="Z23" s="156">
        <v>0</v>
      </c>
      <c r="AA23" s="156">
        <v>0</v>
      </c>
      <c r="AB23" s="156">
        <v>0</v>
      </c>
      <c r="AC23" s="156">
        <v>0</v>
      </c>
      <c r="AD23" s="156">
        <v>0</v>
      </c>
      <c r="AE23" s="156">
        <v>0</v>
      </c>
      <c r="AF23" s="156">
        <v>0</v>
      </c>
      <c r="AG23" s="156">
        <v>0</v>
      </c>
      <c r="AH23" s="156">
        <v>0</v>
      </c>
      <c r="AI23" s="156">
        <v>0.32</v>
      </c>
      <c r="AJ23" s="156">
        <v>0</v>
      </c>
      <c r="AK23" s="156">
        <v>0</v>
      </c>
      <c r="AL23" s="156">
        <v>0.48</v>
      </c>
      <c r="AM23" s="156">
        <v>0</v>
      </c>
      <c r="AN23" s="156">
        <v>0</v>
      </c>
      <c r="AO23" s="156">
        <v>0</v>
      </c>
      <c r="AP23" s="156">
        <v>0</v>
      </c>
      <c r="AQ23" s="156">
        <v>0</v>
      </c>
      <c r="AR23" s="156">
        <v>0</v>
      </c>
      <c r="AS23" s="156">
        <v>0</v>
      </c>
      <c r="AT23" s="156">
        <f t="shared" si="2"/>
        <v>34.79</v>
      </c>
    </row>
    <row r="24" spans="1:46" ht="11.25" outlineLevel="2" collapsed="1">
      <c r="D24" s="156"/>
      <c r="E24" s="156" t="s">
        <v>213</v>
      </c>
      <c r="F24" s="157">
        <v>146</v>
      </c>
      <c r="G24" s="157">
        <f t="shared" ref="G24:AT24" si="3">SUBTOTAL(9,G6:G23)</f>
        <v>446786</v>
      </c>
      <c r="H24" s="156">
        <f t="shared" si="3"/>
        <v>156188.28999999998</v>
      </c>
      <c r="I24" s="156">
        <f t="shared" si="3"/>
        <v>747.00999999999988</v>
      </c>
      <c r="J24" s="156">
        <f t="shared" si="3"/>
        <v>937.86</v>
      </c>
      <c r="K24" s="156">
        <f t="shared" si="3"/>
        <v>362.74</v>
      </c>
      <c r="L24" s="156">
        <f t="shared" si="3"/>
        <v>467.76</v>
      </c>
      <c r="M24" s="156">
        <f t="shared" si="3"/>
        <v>1518.55</v>
      </c>
      <c r="N24" s="156">
        <f t="shared" si="3"/>
        <v>3286.91</v>
      </c>
      <c r="O24" s="156">
        <f t="shared" si="3"/>
        <v>21.779999999999998</v>
      </c>
      <c r="P24" s="156">
        <f t="shared" si="3"/>
        <v>35.1</v>
      </c>
      <c r="Q24" s="156">
        <f t="shared" si="3"/>
        <v>69.320000000000007</v>
      </c>
      <c r="R24" s="156">
        <f t="shared" si="3"/>
        <v>0</v>
      </c>
      <c r="S24" s="156">
        <f t="shared" si="3"/>
        <v>0</v>
      </c>
      <c r="T24" s="156">
        <f t="shared" si="3"/>
        <v>0</v>
      </c>
      <c r="U24" s="156">
        <f t="shared" si="3"/>
        <v>0</v>
      </c>
      <c r="V24" s="156">
        <f t="shared" si="3"/>
        <v>0</v>
      </c>
      <c r="W24" s="156">
        <f t="shared" si="3"/>
        <v>0</v>
      </c>
      <c r="X24" s="156">
        <f t="shared" si="3"/>
        <v>3.06</v>
      </c>
      <c r="Y24" s="156">
        <f t="shared" si="3"/>
        <v>31.720000000000002</v>
      </c>
      <c r="Z24" s="156">
        <f t="shared" si="3"/>
        <v>0</v>
      </c>
      <c r="AA24" s="156">
        <f t="shared" si="3"/>
        <v>0</v>
      </c>
      <c r="AB24" s="156">
        <f t="shared" si="3"/>
        <v>0</v>
      </c>
      <c r="AC24" s="156">
        <f t="shared" si="3"/>
        <v>0</v>
      </c>
      <c r="AD24" s="156">
        <f t="shared" si="3"/>
        <v>0</v>
      </c>
      <c r="AE24" s="156">
        <f t="shared" si="3"/>
        <v>0</v>
      </c>
      <c r="AF24" s="156">
        <f t="shared" si="3"/>
        <v>0</v>
      </c>
      <c r="AG24" s="156">
        <f t="shared" si="3"/>
        <v>0</v>
      </c>
      <c r="AH24" s="156">
        <f t="shared" si="3"/>
        <v>0</v>
      </c>
      <c r="AI24" s="156">
        <f t="shared" si="3"/>
        <v>438.15000000000003</v>
      </c>
      <c r="AJ24" s="156">
        <f t="shared" si="3"/>
        <v>0</v>
      </c>
      <c r="AK24" s="156">
        <f t="shared" si="3"/>
        <v>-8.6</v>
      </c>
      <c r="AL24" s="156">
        <f t="shared" si="3"/>
        <v>1703.2700000000002</v>
      </c>
      <c r="AM24" s="156">
        <f t="shared" si="3"/>
        <v>-4314.03</v>
      </c>
      <c r="AN24" s="156">
        <f t="shared" si="3"/>
        <v>0</v>
      </c>
      <c r="AO24" s="156">
        <f t="shared" si="3"/>
        <v>101.53</v>
      </c>
      <c r="AP24" s="156">
        <f t="shared" si="3"/>
        <v>0</v>
      </c>
      <c r="AQ24" s="156">
        <f t="shared" si="3"/>
        <v>0</v>
      </c>
      <c r="AR24" s="156">
        <f t="shared" si="3"/>
        <v>0</v>
      </c>
      <c r="AS24" s="156">
        <f t="shared" si="3"/>
        <v>0</v>
      </c>
      <c r="AT24" s="156">
        <f t="shared" si="3"/>
        <v>156170.69</v>
      </c>
    </row>
    <row r="25" spans="1:46" ht="11.25" hidden="1" outlineLevel="3">
      <c r="A25" s="155" t="s">
        <v>131</v>
      </c>
      <c r="B25" s="155">
        <v>0</v>
      </c>
      <c r="C25" s="155">
        <v>0</v>
      </c>
      <c r="D25" s="156" t="s">
        <v>62</v>
      </c>
      <c r="E25" s="156" t="s">
        <v>138</v>
      </c>
      <c r="F25" s="157">
        <v>0</v>
      </c>
      <c r="G25" s="157">
        <v>99320</v>
      </c>
      <c r="H25" s="156">
        <v>6376.64</v>
      </c>
      <c r="I25" s="156">
        <v>376.02</v>
      </c>
      <c r="J25" s="156">
        <v>0</v>
      </c>
      <c r="K25" s="156">
        <v>0</v>
      </c>
      <c r="L25" s="156">
        <v>2896.17</v>
      </c>
      <c r="M25" s="156">
        <v>562.15</v>
      </c>
      <c r="N25" s="156">
        <f t="shared" ref="N25:N88" si="4">J25+K25+L25+M25</f>
        <v>3458.32</v>
      </c>
      <c r="O25" s="156">
        <v>0</v>
      </c>
      <c r="P25" s="156">
        <v>0</v>
      </c>
      <c r="Q25" s="156">
        <v>406.22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56">
        <v>198.64</v>
      </c>
      <c r="Z25" s="156">
        <v>0</v>
      </c>
      <c r="AA25" s="156">
        <v>370.46</v>
      </c>
      <c r="AB25" s="156">
        <v>0</v>
      </c>
      <c r="AC25" s="156">
        <v>0</v>
      </c>
      <c r="AD25" s="156">
        <v>0</v>
      </c>
      <c r="AE25" s="156">
        <v>0</v>
      </c>
      <c r="AF25" s="156">
        <v>0</v>
      </c>
      <c r="AG25" s="156">
        <v>0</v>
      </c>
      <c r="AH25" s="156">
        <v>0</v>
      </c>
      <c r="AI25" s="156">
        <v>0</v>
      </c>
      <c r="AJ25" s="156">
        <v>0</v>
      </c>
      <c r="AK25" s="156">
        <v>0</v>
      </c>
      <c r="AL25" s="156">
        <v>928.73</v>
      </c>
      <c r="AM25" s="156">
        <v>-1409.88</v>
      </c>
      <c r="AN25" s="156">
        <v>0</v>
      </c>
      <c r="AO25" s="156">
        <v>0</v>
      </c>
      <c r="AP25" s="156">
        <v>0</v>
      </c>
      <c r="AQ25" s="156">
        <v>0</v>
      </c>
      <c r="AR25" s="156">
        <v>0</v>
      </c>
      <c r="AS25" s="156">
        <v>0</v>
      </c>
      <c r="AT25" s="156">
        <f t="shared" ref="AT25:AT88" si="5">H25+I25+N25+O25+P25+Q25+T25+X25+Y25+Z25+AA25+AB25+AM25+AO25</f>
        <v>9776.4199999999983</v>
      </c>
    </row>
    <row r="26" spans="1:46" ht="11.25" hidden="1" outlineLevel="3">
      <c r="A26" s="155" t="s">
        <v>152</v>
      </c>
      <c r="B26" s="155">
        <v>0</v>
      </c>
      <c r="C26" s="155">
        <v>0</v>
      </c>
      <c r="D26" s="156" t="s">
        <v>62</v>
      </c>
      <c r="E26" s="156" t="s">
        <v>138</v>
      </c>
      <c r="F26" s="157">
        <v>0</v>
      </c>
      <c r="G26" s="157">
        <v>99870</v>
      </c>
      <c r="H26" s="156">
        <v>10574.75</v>
      </c>
      <c r="I26" s="156">
        <v>626.94000000000005</v>
      </c>
      <c r="J26" s="156">
        <v>0</v>
      </c>
      <c r="K26" s="156">
        <v>350.55</v>
      </c>
      <c r="L26" s="156">
        <v>0</v>
      </c>
      <c r="M26" s="156">
        <v>0</v>
      </c>
      <c r="N26" s="156">
        <f t="shared" si="4"/>
        <v>350.55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6">
        <v>0</v>
      </c>
      <c r="Y26" s="156">
        <v>0</v>
      </c>
      <c r="Z26" s="156">
        <v>38.950000000000003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0</v>
      </c>
      <c r="AK26" s="156">
        <v>0</v>
      </c>
      <c r="AL26" s="156">
        <v>0</v>
      </c>
      <c r="AM26" s="156">
        <v>-515.33000000000004</v>
      </c>
      <c r="AN26" s="156">
        <v>0</v>
      </c>
      <c r="AO26" s="156">
        <v>0</v>
      </c>
      <c r="AP26" s="156">
        <v>0</v>
      </c>
      <c r="AQ26" s="156">
        <v>0</v>
      </c>
      <c r="AR26" s="156">
        <v>0</v>
      </c>
      <c r="AS26" s="156">
        <v>0</v>
      </c>
      <c r="AT26" s="156">
        <f t="shared" si="5"/>
        <v>11075.86</v>
      </c>
    </row>
    <row r="27" spans="1:46" ht="11.25" hidden="1" outlineLevel="3">
      <c r="A27" s="155" t="s">
        <v>152</v>
      </c>
      <c r="B27" s="155">
        <v>0</v>
      </c>
      <c r="C27" s="155">
        <v>0</v>
      </c>
      <c r="D27" s="156" t="s">
        <v>62</v>
      </c>
      <c r="E27" s="156" t="s">
        <v>138</v>
      </c>
      <c r="F27" s="157">
        <v>0</v>
      </c>
      <c r="G27" s="157">
        <v>99472</v>
      </c>
      <c r="H27" s="156">
        <v>10523.62</v>
      </c>
      <c r="I27" s="156">
        <v>519.91999999999996</v>
      </c>
      <c r="J27" s="156">
        <v>0</v>
      </c>
      <c r="K27" s="156">
        <v>349.15</v>
      </c>
      <c r="L27" s="156">
        <v>0</v>
      </c>
      <c r="M27" s="156">
        <v>0</v>
      </c>
      <c r="N27" s="156">
        <f t="shared" si="4"/>
        <v>349.15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  <c r="Y27" s="156">
        <v>0</v>
      </c>
      <c r="Z27" s="156">
        <v>38.79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56">
        <v>246.96999999999997</v>
      </c>
      <c r="AM27" s="156">
        <v>-513.28</v>
      </c>
      <c r="AN27" s="156">
        <v>0</v>
      </c>
      <c r="AO27" s="156">
        <v>0</v>
      </c>
      <c r="AP27" s="156">
        <v>0</v>
      </c>
      <c r="AQ27" s="156">
        <v>0</v>
      </c>
      <c r="AR27" s="156">
        <v>0</v>
      </c>
      <c r="AS27" s="156">
        <v>0</v>
      </c>
      <c r="AT27" s="156">
        <f t="shared" si="5"/>
        <v>10918.2</v>
      </c>
    </row>
    <row r="28" spans="1:46" ht="11.25" hidden="1" outlineLevel="3">
      <c r="A28" s="155" t="s">
        <v>152</v>
      </c>
      <c r="B28" s="155">
        <v>0</v>
      </c>
      <c r="C28" s="155">
        <v>0</v>
      </c>
      <c r="D28" s="156" t="s">
        <v>62</v>
      </c>
      <c r="E28" s="156" t="s">
        <v>138</v>
      </c>
      <c r="F28" s="157">
        <v>0</v>
      </c>
      <c r="G28" s="157">
        <v>99557</v>
      </c>
      <c r="H28" s="156">
        <v>10554.75</v>
      </c>
      <c r="I28" s="156">
        <v>521.47</v>
      </c>
      <c r="J28" s="156">
        <v>0</v>
      </c>
      <c r="K28" s="156">
        <v>349.45</v>
      </c>
      <c r="L28" s="156">
        <v>0</v>
      </c>
      <c r="M28" s="156">
        <v>0</v>
      </c>
      <c r="N28" s="156">
        <f t="shared" si="4"/>
        <v>349.45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56">
        <v>0</v>
      </c>
      <c r="W28" s="156">
        <v>0</v>
      </c>
      <c r="X28" s="156">
        <v>0</v>
      </c>
      <c r="Y28" s="156">
        <v>0</v>
      </c>
      <c r="Z28" s="156">
        <v>38.83</v>
      </c>
      <c r="AA28" s="156">
        <v>0</v>
      </c>
      <c r="AB28" s="156">
        <v>0</v>
      </c>
      <c r="AC28" s="156">
        <v>0</v>
      </c>
      <c r="AD28" s="156">
        <v>0</v>
      </c>
      <c r="AE28" s="156">
        <v>0</v>
      </c>
      <c r="AF28" s="156">
        <v>0</v>
      </c>
      <c r="AG28" s="156">
        <v>0</v>
      </c>
      <c r="AH28" s="156">
        <v>0</v>
      </c>
      <c r="AI28" s="156">
        <v>0</v>
      </c>
      <c r="AJ28" s="156">
        <v>0</v>
      </c>
      <c r="AK28" s="156">
        <v>0</v>
      </c>
      <c r="AL28" s="156">
        <v>312.88</v>
      </c>
      <c r="AM28" s="156">
        <v>-513.71</v>
      </c>
      <c r="AN28" s="156">
        <v>0</v>
      </c>
      <c r="AO28" s="156">
        <v>0</v>
      </c>
      <c r="AP28" s="156">
        <v>0</v>
      </c>
      <c r="AQ28" s="156">
        <v>0</v>
      </c>
      <c r="AR28" s="156">
        <v>0</v>
      </c>
      <c r="AS28" s="156">
        <v>0</v>
      </c>
      <c r="AT28" s="156">
        <f t="shared" si="5"/>
        <v>10950.79</v>
      </c>
    </row>
    <row r="29" spans="1:46" ht="11.25" hidden="1" outlineLevel="3">
      <c r="A29" s="155" t="s">
        <v>152</v>
      </c>
      <c r="B29" s="155">
        <v>0</v>
      </c>
      <c r="C29" s="155">
        <v>0</v>
      </c>
      <c r="D29" s="156" t="s">
        <v>62</v>
      </c>
      <c r="E29" s="156" t="s">
        <v>138</v>
      </c>
      <c r="F29" s="157">
        <v>0</v>
      </c>
      <c r="G29" s="157">
        <v>98109</v>
      </c>
      <c r="H29" s="156">
        <v>10384.34</v>
      </c>
      <c r="I29" s="156">
        <v>615.64</v>
      </c>
      <c r="J29" s="156">
        <v>0</v>
      </c>
      <c r="K29" s="156">
        <v>344.36</v>
      </c>
      <c r="L29" s="156">
        <v>0</v>
      </c>
      <c r="M29" s="156">
        <v>0</v>
      </c>
      <c r="N29" s="156">
        <f t="shared" si="4"/>
        <v>344.36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  <c r="T29" s="156">
        <v>0</v>
      </c>
      <c r="U29" s="156">
        <v>0</v>
      </c>
      <c r="V29" s="156">
        <v>0</v>
      </c>
      <c r="W29" s="156">
        <v>0</v>
      </c>
      <c r="X29" s="156">
        <v>0</v>
      </c>
      <c r="Y29" s="156">
        <v>0</v>
      </c>
      <c r="Z29" s="156">
        <v>38.26</v>
      </c>
      <c r="AA29" s="156">
        <v>0</v>
      </c>
      <c r="AB29" s="156">
        <v>0</v>
      </c>
      <c r="AC29" s="156">
        <v>0</v>
      </c>
      <c r="AD29" s="156">
        <v>0</v>
      </c>
      <c r="AE29" s="156">
        <v>0</v>
      </c>
      <c r="AF29" s="156">
        <v>0</v>
      </c>
      <c r="AG29" s="156">
        <v>0</v>
      </c>
      <c r="AH29" s="156">
        <v>0</v>
      </c>
      <c r="AI29" s="156">
        <v>0</v>
      </c>
      <c r="AJ29" s="156">
        <v>0</v>
      </c>
      <c r="AK29" s="156">
        <v>0</v>
      </c>
      <c r="AL29" s="156">
        <v>256.5</v>
      </c>
      <c r="AM29" s="156">
        <v>-506.25</v>
      </c>
      <c r="AN29" s="156">
        <v>0</v>
      </c>
      <c r="AO29" s="156">
        <v>0</v>
      </c>
      <c r="AP29" s="156">
        <v>0</v>
      </c>
      <c r="AQ29" s="156">
        <v>0</v>
      </c>
      <c r="AR29" s="156">
        <v>0</v>
      </c>
      <c r="AS29" s="156">
        <v>0</v>
      </c>
      <c r="AT29" s="156">
        <f t="shared" si="5"/>
        <v>10876.35</v>
      </c>
    </row>
    <row r="30" spans="1:46" ht="11.25" hidden="1" outlineLevel="3">
      <c r="A30" s="155" t="s">
        <v>152</v>
      </c>
      <c r="B30" s="155">
        <v>0</v>
      </c>
      <c r="C30" s="155">
        <v>0</v>
      </c>
      <c r="D30" s="156" t="s">
        <v>62</v>
      </c>
      <c r="E30" s="156" t="s">
        <v>138</v>
      </c>
      <c r="F30" s="157">
        <v>0</v>
      </c>
      <c r="G30" s="157">
        <v>98951</v>
      </c>
      <c r="H30" s="156">
        <v>10474.49</v>
      </c>
      <c r="I30" s="156">
        <v>517.49</v>
      </c>
      <c r="J30" s="156">
        <v>0</v>
      </c>
      <c r="K30" s="156">
        <v>347.32</v>
      </c>
      <c r="L30" s="156">
        <v>0</v>
      </c>
      <c r="M30" s="156">
        <v>0</v>
      </c>
      <c r="N30" s="156">
        <f t="shared" si="4"/>
        <v>347.32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38.590000000000003</v>
      </c>
      <c r="AA30" s="156">
        <v>0</v>
      </c>
      <c r="AB30" s="156">
        <v>0</v>
      </c>
      <c r="AC30" s="156">
        <v>0</v>
      </c>
      <c r="AD30" s="156">
        <v>0</v>
      </c>
      <c r="AE30" s="156">
        <v>0</v>
      </c>
      <c r="AF30" s="156">
        <v>0</v>
      </c>
      <c r="AG30" s="156">
        <v>0</v>
      </c>
      <c r="AH30" s="156">
        <v>0</v>
      </c>
      <c r="AI30" s="156">
        <v>0</v>
      </c>
      <c r="AJ30" s="156">
        <v>0</v>
      </c>
      <c r="AK30" s="156">
        <v>0</v>
      </c>
      <c r="AL30" s="156">
        <v>0</v>
      </c>
      <c r="AM30" s="156">
        <v>-510.58</v>
      </c>
      <c r="AN30" s="156">
        <v>0</v>
      </c>
      <c r="AO30" s="156">
        <v>0</v>
      </c>
      <c r="AP30" s="156">
        <v>0</v>
      </c>
      <c r="AQ30" s="156">
        <v>0</v>
      </c>
      <c r="AR30" s="156">
        <v>0</v>
      </c>
      <c r="AS30" s="156">
        <v>0</v>
      </c>
      <c r="AT30" s="156">
        <f t="shared" si="5"/>
        <v>10867.31</v>
      </c>
    </row>
    <row r="31" spans="1:46" ht="11.25" hidden="1" outlineLevel="3">
      <c r="A31" s="155" t="s">
        <v>152</v>
      </c>
      <c r="B31" s="155">
        <v>0</v>
      </c>
      <c r="C31" s="155">
        <v>0</v>
      </c>
      <c r="D31" s="156" t="s">
        <v>62</v>
      </c>
      <c r="E31" s="156" t="s">
        <v>138</v>
      </c>
      <c r="F31" s="157">
        <v>0</v>
      </c>
      <c r="G31" s="157">
        <v>98788</v>
      </c>
      <c r="H31" s="156">
        <v>10453.700000000001</v>
      </c>
      <c r="I31" s="156">
        <v>516.47</v>
      </c>
      <c r="J31" s="156">
        <v>0</v>
      </c>
      <c r="K31" s="156">
        <v>346.75</v>
      </c>
      <c r="L31" s="156">
        <v>0</v>
      </c>
      <c r="M31" s="156">
        <v>0</v>
      </c>
      <c r="N31" s="156">
        <f t="shared" si="4"/>
        <v>346.75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  <c r="Y31" s="156">
        <v>0</v>
      </c>
      <c r="Z31" s="156">
        <v>38.53</v>
      </c>
      <c r="AA31" s="156">
        <v>0</v>
      </c>
      <c r="AB31" s="156">
        <v>0</v>
      </c>
      <c r="AC31" s="156">
        <v>0</v>
      </c>
      <c r="AD31" s="156">
        <v>0</v>
      </c>
      <c r="AE31" s="156">
        <v>0</v>
      </c>
      <c r="AF31" s="156">
        <v>0</v>
      </c>
      <c r="AG31" s="156">
        <v>0</v>
      </c>
      <c r="AH31" s="156">
        <v>0</v>
      </c>
      <c r="AI31" s="156">
        <v>0</v>
      </c>
      <c r="AJ31" s="156">
        <v>0</v>
      </c>
      <c r="AK31" s="156">
        <v>0</v>
      </c>
      <c r="AL31" s="156">
        <v>245.32999999999998</v>
      </c>
      <c r="AM31" s="156">
        <v>-509.75</v>
      </c>
      <c r="AN31" s="156">
        <v>0</v>
      </c>
      <c r="AO31" s="156">
        <v>0</v>
      </c>
      <c r="AP31" s="156">
        <v>0</v>
      </c>
      <c r="AQ31" s="156">
        <v>0</v>
      </c>
      <c r="AR31" s="156">
        <v>0</v>
      </c>
      <c r="AS31" s="156">
        <v>0</v>
      </c>
      <c r="AT31" s="156">
        <f t="shared" si="5"/>
        <v>10845.7</v>
      </c>
    </row>
    <row r="32" spans="1:46" ht="11.25" hidden="1" outlineLevel="3">
      <c r="A32" s="155" t="s">
        <v>152</v>
      </c>
      <c r="B32" s="155">
        <v>0</v>
      </c>
      <c r="C32" s="155">
        <v>0</v>
      </c>
      <c r="D32" s="156" t="s">
        <v>62</v>
      </c>
      <c r="E32" s="156" t="s">
        <v>138</v>
      </c>
      <c r="F32" s="157">
        <v>0</v>
      </c>
      <c r="G32" s="157">
        <v>99000</v>
      </c>
      <c r="H32" s="156">
        <v>10468.26</v>
      </c>
      <c r="I32" s="156">
        <v>413.74</v>
      </c>
      <c r="J32" s="156">
        <v>0</v>
      </c>
      <c r="K32" s="156">
        <v>347.49</v>
      </c>
      <c r="L32" s="156">
        <v>0</v>
      </c>
      <c r="M32" s="156">
        <v>0</v>
      </c>
      <c r="N32" s="156">
        <f t="shared" si="4"/>
        <v>347.49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56">
        <v>0</v>
      </c>
      <c r="Z32" s="156">
        <v>38.61</v>
      </c>
      <c r="AA32" s="156">
        <v>0</v>
      </c>
      <c r="AB32" s="156">
        <v>0</v>
      </c>
      <c r="AC32" s="156">
        <v>0</v>
      </c>
      <c r="AD32" s="156">
        <v>0</v>
      </c>
      <c r="AE32" s="156">
        <v>0</v>
      </c>
      <c r="AF32" s="156">
        <v>0</v>
      </c>
      <c r="AG32" s="156">
        <v>0</v>
      </c>
      <c r="AH32" s="156">
        <v>0</v>
      </c>
      <c r="AI32" s="156">
        <v>0</v>
      </c>
      <c r="AJ32" s="156">
        <v>0</v>
      </c>
      <c r="AK32" s="156">
        <v>0</v>
      </c>
      <c r="AL32" s="156">
        <v>219.82999999999998</v>
      </c>
      <c r="AM32" s="156">
        <v>-510.84</v>
      </c>
      <c r="AN32" s="156">
        <v>0</v>
      </c>
      <c r="AO32" s="156">
        <v>0</v>
      </c>
      <c r="AP32" s="156">
        <v>0</v>
      </c>
      <c r="AQ32" s="156">
        <v>0</v>
      </c>
      <c r="AR32" s="156">
        <v>0</v>
      </c>
      <c r="AS32" s="156">
        <v>0</v>
      </c>
      <c r="AT32" s="156">
        <f t="shared" si="5"/>
        <v>10757.26</v>
      </c>
    </row>
    <row r="33" spans="1:46" ht="11.25" hidden="1" outlineLevel="3">
      <c r="A33" s="155" t="s">
        <v>152</v>
      </c>
      <c r="B33" s="155">
        <v>0</v>
      </c>
      <c r="C33" s="155">
        <v>0</v>
      </c>
      <c r="D33" s="156" t="s">
        <v>62</v>
      </c>
      <c r="E33" s="156" t="s">
        <v>138</v>
      </c>
      <c r="F33" s="157">
        <v>0</v>
      </c>
      <c r="G33" s="157">
        <v>99000</v>
      </c>
      <c r="H33" s="156">
        <v>10472.870000000001</v>
      </c>
      <c r="I33" s="156">
        <v>413.92</v>
      </c>
      <c r="J33" s="156">
        <v>0</v>
      </c>
      <c r="K33" s="156">
        <v>347.49</v>
      </c>
      <c r="L33" s="156">
        <v>0</v>
      </c>
      <c r="M33" s="156">
        <v>0</v>
      </c>
      <c r="N33" s="156">
        <f t="shared" si="4"/>
        <v>347.49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  <c r="Y33" s="156">
        <v>0</v>
      </c>
      <c r="Z33" s="156">
        <v>38.61</v>
      </c>
      <c r="AA33" s="156">
        <v>0</v>
      </c>
      <c r="AB33" s="156">
        <v>0</v>
      </c>
      <c r="AC33" s="156">
        <v>0</v>
      </c>
      <c r="AD33" s="156">
        <v>0</v>
      </c>
      <c r="AE33" s="156">
        <v>0</v>
      </c>
      <c r="AF33" s="156">
        <v>0</v>
      </c>
      <c r="AG33" s="156">
        <v>0</v>
      </c>
      <c r="AH33" s="156">
        <v>0</v>
      </c>
      <c r="AI33" s="156">
        <v>0</v>
      </c>
      <c r="AJ33" s="156">
        <v>0</v>
      </c>
      <c r="AK33" s="156">
        <v>0</v>
      </c>
      <c r="AL33" s="156">
        <v>219.91</v>
      </c>
      <c r="AM33" s="156">
        <v>-510.84</v>
      </c>
      <c r="AN33" s="156">
        <v>0</v>
      </c>
      <c r="AO33" s="156">
        <v>0</v>
      </c>
      <c r="AP33" s="156">
        <v>0</v>
      </c>
      <c r="AQ33" s="156">
        <v>0</v>
      </c>
      <c r="AR33" s="156">
        <v>0</v>
      </c>
      <c r="AS33" s="156">
        <v>0</v>
      </c>
      <c r="AT33" s="156">
        <f t="shared" si="5"/>
        <v>10762.050000000001</v>
      </c>
    </row>
    <row r="34" spans="1:46" ht="11.25" hidden="1" outlineLevel="3">
      <c r="A34" s="155" t="s">
        <v>152</v>
      </c>
      <c r="B34" s="155">
        <v>0</v>
      </c>
      <c r="C34" s="155">
        <v>0</v>
      </c>
      <c r="D34" s="156" t="s">
        <v>62</v>
      </c>
      <c r="E34" s="156" t="s">
        <v>138</v>
      </c>
      <c r="F34" s="157">
        <v>0</v>
      </c>
      <c r="G34" s="157">
        <v>99000</v>
      </c>
      <c r="H34" s="156">
        <v>10477</v>
      </c>
      <c r="I34" s="156">
        <v>414.09</v>
      </c>
      <c r="J34" s="156">
        <v>0</v>
      </c>
      <c r="K34" s="156">
        <v>347.49</v>
      </c>
      <c r="L34" s="156">
        <v>0</v>
      </c>
      <c r="M34" s="156">
        <v>0</v>
      </c>
      <c r="N34" s="156">
        <f t="shared" si="4"/>
        <v>347.49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  <c r="Y34" s="156">
        <v>0</v>
      </c>
      <c r="Z34" s="156">
        <v>38.61</v>
      </c>
      <c r="AA34" s="156">
        <v>0</v>
      </c>
      <c r="AB34" s="156">
        <v>0</v>
      </c>
      <c r="AC34" s="156">
        <v>0</v>
      </c>
      <c r="AD34" s="156">
        <v>0</v>
      </c>
      <c r="AE34" s="156">
        <v>0</v>
      </c>
      <c r="AF34" s="156">
        <v>0</v>
      </c>
      <c r="AG34" s="156">
        <v>0</v>
      </c>
      <c r="AH34" s="156">
        <v>0</v>
      </c>
      <c r="AI34" s="156">
        <v>0</v>
      </c>
      <c r="AJ34" s="156">
        <v>0</v>
      </c>
      <c r="AK34" s="156">
        <v>0</v>
      </c>
      <c r="AL34" s="156">
        <v>219.99</v>
      </c>
      <c r="AM34" s="156">
        <v>-510.84</v>
      </c>
      <c r="AN34" s="156">
        <v>0</v>
      </c>
      <c r="AO34" s="156">
        <v>0</v>
      </c>
      <c r="AP34" s="156">
        <v>0</v>
      </c>
      <c r="AQ34" s="156">
        <v>0</v>
      </c>
      <c r="AR34" s="156">
        <v>0</v>
      </c>
      <c r="AS34" s="156">
        <v>0</v>
      </c>
      <c r="AT34" s="156">
        <f t="shared" si="5"/>
        <v>10766.35</v>
      </c>
    </row>
    <row r="35" spans="1:46" ht="11.25" hidden="1" outlineLevel="3">
      <c r="A35" s="155" t="s">
        <v>152</v>
      </c>
      <c r="B35" s="155">
        <v>0</v>
      </c>
      <c r="C35" s="155">
        <v>0</v>
      </c>
      <c r="D35" s="156" t="s">
        <v>62</v>
      </c>
      <c r="E35" s="156" t="s">
        <v>138</v>
      </c>
      <c r="F35" s="157">
        <v>0</v>
      </c>
      <c r="G35" s="157">
        <v>99736</v>
      </c>
      <c r="H35" s="156">
        <v>10555.04</v>
      </c>
      <c r="I35" s="156">
        <v>312.88</v>
      </c>
      <c r="J35" s="156">
        <v>0</v>
      </c>
      <c r="K35" s="156">
        <v>350.08</v>
      </c>
      <c r="L35" s="156">
        <v>0</v>
      </c>
      <c r="M35" s="156">
        <v>0</v>
      </c>
      <c r="N35" s="156">
        <f t="shared" si="4"/>
        <v>350.08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  <c r="U35" s="156">
        <v>0</v>
      </c>
      <c r="V35" s="156">
        <v>0</v>
      </c>
      <c r="W35" s="156">
        <v>0</v>
      </c>
      <c r="X35" s="156">
        <v>0</v>
      </c>
      <c r="Y35" s="156">
        <v>0</v>
      </c>
      <c r="Z35" s="156">
        <v>38.9</v>
      </c>
      <c r="AA35" s="156">
        <v>0</v>
      </c>
      <c r="AB35" s="156">
        <v>0</v>
      </c>
      <c r="AC35" s="156">
        <v>0</v>
      </c>
      <c r="AD35" s="156">
        <v>0</v>
      </c>
      <c r="AE35" s="156">
        <v>0</v>
      </c>
      <c r="AF35" s="156">
        <v>0</v>
      </c>
      <c r="AG35" s="156">
        <v>0</v>
      </c>
      <c r="AH35" s="156">
        <v>0</v>
      </c>
      <c r="AI35" s="156">
        <v>0</v>
      </c>
      <c r="AJ35" s="156">
        <v>0</v>
      </c>
      <c r="AK35" s="156">
        <v>0</v>
      </c>
      <c r="AL35" s="156">
        <v>182.51</v>
      </c>
      <c r="AM35" s="156">
        <v>-514.63</v>
      </c>
      <c r="AN35" s="156">
        <v>0</v>
      </c>
      <c r="AO35" s="156">
        <v>0</v>
      </c>
      <c r="AP35" s="156">
        <v>0</v>
      </c>
      <c r="AQ35" s="156">
        <v>0</v>
      </c>
      <c r="AR35" s="156">
        <v>0</v>
      </c>
      <c r="AS35" s="156">
        <v>0</v>
      </c>
      <c r="AT35" s="156">
        <f t="shared" si="5"/>
        <v>10742.27</v>
      </c>
    </row>
    <row r="36" spans="1:46" ht="11.25" hidden="1" outlineLevel="3">
      <c r="A36" s="155" t="s">
        <v>152</v>
      </c>
      <c r="B36" s="155">
        <v>0</v>
      </c>
      <c r="C36" s="155">
        <v>0</v>
      </c>
      <c r="D36" s="156" t="s">
        <v>62</v>
      </c>
      <c r="E36" s="156" t="s">
        <v>138</v>
      </c>
      <c r="F36" s="157">
        <v>0</v>
      </c>
      <c r="G36" s="157">
        <v>99680</v>
      </c>
      <c r="H36" s="156">
        <v>10548.73</v>
      </c>
      <c r="I36" s="156">
        <v>312.69</v>
      </c>
      <c r="J36" s="156">
        <v>0</v>
      </c>
      <c r="K36" s="156">
        <v>349.88</v>
      </c>
      <c r="L36" s="156">
        <v>0</v>
      </c>
      <c r="M36" s="156">
        <v>0</v>
      </c>
      <c r="N36" s="156">
        <f t="shared" si="4"/>
        <v>349.88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38.869999999999997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>
        <v>0</v>
      </c>
      <c r="AG36" s="156">
        <v>0</v>
      </c>
      <c r="AH36" s="156">
        <v>0</v>
      </c>
      <c r="AI36" s="156">
        <v>0</v>
      </c>
      <c r="AJ36" s="156">
        <v>0</v>
      </c>
      <c r="AK36" s="156">
        <v>0</v>
      </c>
      <c r="AL36" s="156">
        <v>182.41</v>
      </c>
      <c r="AM36" s="156">
        <v>-514.35</v>
      </c>
      <c r="AN36" s="156">
        <v>0</v>
      </c>
      <c r="AO36" s="156">
        <v>0</v>
      </c>
      <c r="AP36" s="156">
        <v>0</v>
      </c>
      <c r="AQ36" s="156">
        <v>0</v>
      </c>
      <c r="AR36" s="156">
        <v>0</v>
      </c>
      <c r="AS36" s="156">
        <v>0</v>
      </c>
      <c r="AT36" s="156">
        <f t="shared" si="5"/>
        <v>10735.82</v>
      </c>
    </row>
    <row r="37" spans="1:46" ht="11.25" hidden="1" outlineLevel="3">
      <c r="A37" s="155" t="s">
        <v>152</v>
      </c>
      <c r="B37" s="155">
        <v>0</v>
      </c>
      <c r="C37" s="155">
        <v>0</v>
      </c>
      <c r="D37" s="156" t="s">
        <v>62</v>
      </c>
      <c r="E37" s="156" t="s">
        <v>138</v>
      </c>
      <c r="F37" s="157">
        <v>0</v>
      </c>
      <c r="G37" s="157">
        <v>99808</v>
      </c>
      <c r="H37" s="156">
        <v>10567.28</v>
      </c>
      <c r="I37" s="156">
        <v>313.25</v>
      </c>
      <c r="J37" s="156">
        <v>0</v>
      </c>
      <c r="K37" s="156">
        <v>350.32</v>
      </c>
      <c r="L37" s="156">
        <v>0</v>
      </c>
      <c r="M37" s="156">
        <v>0</v>
      </c>
      <c r="N37" s="156">
        <f t="shared" si="4"/>
        <v>350.32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  <c r="Y37" s="156">
        <v>0</v>
      </c>
      <c r="Z37" s="156">
        <v>38.92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0</v>
      </c>
      <c r="AL37" s="156">
        <v>182.73000000000002</v>
      </c>
      <c r="AM37" s="156">
        <v>-515.01</v>
      </c>
      <c r="AN37" s="156">
        <v>0</v>
      </c>
      <c r="AO37" s="156">
        <v>0</v>
      </c>
      <c r="AP37" s="156">
        <v>0</v>
      </c>
      <c r="AQ37" s="156">
        <v>0</v>
      </c>
      <c r="AR37" s="156">
        <v>0</v>
      </c>
      <c r="AS37" s="156">
        <v>0</v>
      </c>
      <c r="AT37" s="156">
        <f t="shared" si="5"/>
        <v>10754.76</v>
      </c>
    </row>
    <row r="38" spans="1:46" ht="11.25" hidden="1" outlineLevel="3">
      <c r="A38" s="155" t="s">
        <v>152</v>
      </c>
      <c r="B38" s="155">
        <v>0</v>
      </c>
      <c r="C38" s="155">
        <v>0</v>
      </c>
      <c r="D38" s="156" t="s">
        <v>62</v>
      </c>
      <c r="E38" s="156" t="s">
        <v>138</v>
      </c>
      <c r="F38" s="157">
        <v>0</v>
      </c>
      <c r="G38" s="157">
        <v>99604</v>
      </c>
      <c r="H38" s="156">
        <v>10541.18</v>
      </c>
      <c r="I38" s="156">
        <v>312.47000000000003</v>
      </c>
      <c r="J38" s="156">
        <v>0</v>
      </c>
      <c r="K38" s="156">
        <v>349.61</v>
      </c>
      <c r="L38" s="156">
        <v>0</v>
      </c>
      <c r="M38" s="156">
        <v>0</v>
      </c>
      <c r="N38" s="156">
        <f t="shared" si="4"/>
        <v>349.61</v>
      </c>
      <c r="O38" s="156">
        <v>0</v>
      </c>
      <c r="P38" s="156">
        <v>0</v>
      </c>
      <c r="Q38" s="156">
        <v>0</v>
      </c>
      <c r="R38" s="156">
        <v>0</v>
      </c>
      <c r="S38" s="156">
        <v>0</v>
      </c>
      <c r="T38" s="156">
        <v>0</v>
      </c>
      <c r="U38" s="156">
        <v>0</v>
      </c>
      <c r="V38" s="156">
        <v>0</v>
      </c>
      <c r="W38" s="156">
        <v>0</v>
      </c>
      <c r="X38" s="156">
        <v>0</v>
      </c>
      <c r="Y38" s="156">
        <v>0</v>
      </c>
      <c r="Z38" s="156">
        <v>38.840000000000003</v>
      </c>
      <c r="AA38" s="156">
        <v>0</v>
      </c>
      <c r="AB38" s="156">
        <v>0</v>
      </c>
      <c r="AC38" s="156">
        <v>0</v>
      </c>
      <c r="AD38" s="156">
        <v>0</v>
      </c>
      <c r="AE38" s="156">
        <v>0</v>
      </c>
      <c r="AF38" s="156">
        <v>0</v>
      </c>
      <c r="AG38" s="156">
        <v>0</v>
      </c>
      <c r="AH38" s="156">
        <v>0</v>
      </c>
      <c r="AI38" s="156">
        <v>0</v>
      </c>
      <c r="AJ38" s="156">
        <v>0</v>
      </c>
      <c r="AK38" s="156">
        <v>0</v>
      </c>
      <c r="AL38" s="156">
        <v>182.29000000000002</v>
      </c>
      <c r="AM38" s="156">
        <v>-513.95000000000005</v>
      </c>
      <c r="AN38" s="156">
        <v>0</v>
      </c>
      <c r="AO38" s="156">
        <v>0</v>
      </c>
      <c r="AP38" s="156">
        <v>0</v>
      </c>
      <c r="AQ38" s="156">
        <v>0</v>
      </c>
      <c r="AR38" s="156">
        <v>0</v>
      </c>
      <c r="AS38" s="156">
        <v>0</v>
      </c>
      <c r="AT38" s="156">
        <f t="shared" si="5"/>
        <v>10728.15</v>
      </c>
    </row>
    <row r="39" spans="1:46" ht="11.25" hidden="1" outlineLevel="3">
      <c r="A39" s="155" t="s">
        <v>152</v>
      </c>
      <c r="B39" s="155">
        <v>0</v>
      </c>
      <c r="C39" s="155">
        <v>0</v>
      </c>
      <c r="D39" s="156" t="s">
        <v>62</v>
      </c>
      <c r="E39" s="156" t="s">
        <v>138</v>
      </c>
      <c r="F39" s="157">
        <v>0</v>
      </c>
      <c r="G39" s="157">
        <v>99000</v>
      </c>
      <c r="H39" s="156">
        <v>10468.76</v>
      </c>
      <c r="I39" s="156">
        <v>413.76</v>
      </c>
      <c r="J39" s="156">
        <v>0</v>
      </c>
      <c r="K39" s="156">
        <v>347.49</v>
      </c>
      <c r="L39" s="156">
        <v>0</v>
      </c>
      <c r="M39" s="156">
        <v>0</v>
      </c>
      <c r="N39" s="156">
        <f t="shared" si="4"/>
        <v>347.49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0</v>
      </c>
      <c r="X39" s="156">
        <v>0</v>
      </c>
      <c r="Y39" s="156">
        <v>0</v>
      </c>
      <c r="Z39" s="156">
        <v>38.61</v>
      </c>
      <c r="AA39" s="156">
        <v>0</v>
      </c>
      <c r="AB39" s="156">
        <v>0</v>
      </c>
      <c r="AC39" s="156">
        <v>0</v>
      </c>
      <c r="AD39" s="156">
        <v>0</v>
      </c>
      <c r="AE39" s="156">
        <v>0</v>
      </c>
      <c r="AF39" s="156">
        <v>0</v>
      </c>
      <c r="AG39" s="156">
        <v>0</v>
      </c>
      <c r="AH39" s="156">
        <v>0</v>
      </c>
      <c r="AI39" s="156">
        <v>0</v>
      </c>
      <c r="AJ39" s="156">
        <v>0</v>
      </c>
      <c r="AK39" s="156">
        <v>0</v>
      </c>
      <c r="AL39" s="156">
        <v>219.81</v>
      </c>
      <c r="AM39" s="156">
        <v>-510.84</v>
      </c>
      <c r="AN39" s="156">
        <v>0</v>
      </c>
      <c r="AO39" s="156">
        <v>0</v>
      </c>
      <c r="AP39" s="156">
        <v>0</v>
      </c>
      <c r="AQ39" s="156">
        <v>0</v>
      </c>
      <c r="AR39" s="156">
        <v>0</v>
      </c>
      <c r="AS39" s="156">
        <v>0</v>
      </c>
      <c r="AT39" s="156">
        <f t="shared" si="5"/>
        <v>10757.78</v>
      </c>
    </row>
    <row r="40" spans="1:46" ht="11.25" hidden="1" outlineLevel="3">
      <c r="A40" s="155" t="s">
        <v>152</v>
      </c>
      <c r="B40" s="155">
        <v>0</v>
      </c>
      <c r="C40" s="155">
        <v>0</v>
      </c>
      <c r="D40" s="156" t="s">
        <v>62</v>
      </c>
      <c r="E40" s="156" t="s">
        <v>138</v>
      </c>
      <c r="F40" s="157">
        <v>0</v>
      </c>
      <c r="G40" s="157">
        <v>99055</v>
      </c>
      <c r="H40" s="156">
        <v>10476.83</v>
      </c>
      <c r="I40" s="156">
        <v>310.56</v>
      </c>
      <c r="J40" s="156">
        <v>0</v>
      </c>
      <c r="K40" s="156">
        <v>347.68</v>
      </c>
      <c r="L40" s="156">
        <v>0</v>
      </c>
      <c r="M40" s="156">
        <v>0</v>
      </c>
      <c r="N40" s="156">
        <f t="shared" si="4"/>
        <v>347.68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  <c r="V40" s="156">
        <v>0</v>
      </c>
      <c r="W40" s="156">
        <v>0</v>
      </c>
      <c r="X40" s="156">
        <v>0</v>
      </c>
      <c r="Y40" s="156">
        <v>0</v>
      </c>
      <c r="Z40" s="156">
        <v>38.630000000000003</v>
      </c>
      <c r="AA40" s="156">
        <v>0</v>
      </c>
      <c r="AB40" s="156">
        <v>0</v>
      </c>
      <c r="AC40" s="156">
        <v>0</v>
      </c>
      <c r="AD40" s="156">
        <v>0</v>
      </c>
      <c r="AE40" s="156">
        <v>0</v>
      </c>
      <c r="AF40" s="156">
        <v>0</v>
      </c>
      <c r="AG40" s="156">
        <v>0</v>
      </c>
      <c r="AH40" s="156">
        <v>0</v>
      </c>
      <c r="AI40" s="156">
        <v>0</v>
      </c>
      <c r="AJ40" s="156">
        <v>0</v>
      </c>
      <c r="AK40" s="156">
        <v>0</v>
      </c>
      <c r="AL40" s="156">
        <v>181.17000000000002</v>
      </c>
      <c r="AM40" s="156">
        <v>-511.13</v>
      </c>
      <c r="AN40" s="156">
        <v>0</v>
      </c>
      <c r="AO40" s="156">
        <v>0</v>
      </c>
      <c r="AP40" s="156">
        <v>0</v>
      </c>
      <c r="AQ40" s="156">
        <v>0</v>
      </c>
      <c r="AR40" s="156">
        <v>0</v>
      </c>
      <c r="AS40" s="156">
        <v>0</v>
      </c>
      <c r="AT40" s="156">
        <f t="shared" si="5"/>
        <v>10662.57</v>
      </c>
    </row>
    <row r="41" spans="1:46" ht="11.25" hidden="1" outlineLevel="3">
      <c r="A41" s="155" t="s">
        <v>152</v>
      </c>
      <c r="B41" s="155">
        <v>0</v>
      </c>
      <c r="C41" s="155">
        <v>0</v>
      </c>
      <c r="D41" s="156" t="s">
        <v>62</v>
      </c>
      <c r="E41" s="156" t="s">
        <v>138</v>
      </c>
      <c r="F41" s="157">
        <v>0</v>
      </c>
      <c r="G41" s="157">
        <v>99060</v>
      </c>
      <c r="H41" s="156">
        <v>10482.99</v>
      </c>
      <c r="I41" s="156">
        <v>310.74</v>
      </c>
      <c r="J41" s="156">
        <v>0</v>
      </c>
      <c r="K41" s="156">
        <v>347.7</v>
      </c>
      <c r="L41" s="156">
        <v>0</v>
      </c>
      <c r="M41" s="156">
        <v>0</v>
      </c>
      <c r="N41" s="156">
        <f t="shared" si="4"/>
        <v>347.7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38.630000000000003</v>
      </c>
      <c r="AA41" s="156">
        <v>0</v>
      </c>
      <c r="AB41" s="156">
        <v>0</v>
      </c>
      <c r="AC41" s="156">
        <v>0</v>
      </c>
      <c r="AD41" s="156">
        <v>0</v>
      </c>
      <c r="AE41" s="156">
        <v>0</v>
      </c>
      <c r="AF41" s="156">
        <v>0</v>
      </c>
      <c r="AG41" s="156">
        <v>0</v>
      </c>
      <c r="AH41" s="156">
        <v>0</v>
      </c>
      <c r="AI41" s="156">
        <v>0</v>
      </c>
      <c r="AJ41" s="156">
        <v>0</v>
      </c>
      <c r="AK41" s="156">
        <v>0</v>
      </c>
      <c r="AL41" s="156">
        <v>181.27</v>
      </c>
      <c r="AM41" s="156">
        <v>-511.15</v>
      </c>
      <c r="AN41" s="156">
        <v>0</v>
      </c>
      <c r="AO41" s="156">
        <v>0</v>
      </c>
      <c r="AP41" s="156">
        <v>0</v>
      </c>
      <c r="AQ41" s="156">
        <v>0</v>
      </c>
      <c r="AR41" s="156">
        <v>0</v>
      </c>
      <c r="AS41" s="156">
        <v>0</v>
      </c>
      <c r="AT41" s="156">
        <f t="shared" si="5"/>
        <v>10668.91</v>
      </c>
    </row>
    <row r="42" spans="1:46" ht="11.25" hidden="1" outlineLevel="3">
      <c r="A42" s="155" t="s">
        <v>152</v>
      </c>
      <c r="B42" s="155">
        <v>0</v>
      </c>
      <c r="C42" s="155">
        <v>0</v>
      </c>
      <c r="D42" s="156" t="s">
        <v>62</v>
      </c>
      <c r="E42" s="156" t="s">
        <v>138</v>
      </c>
      <c r="F42" s="157">
        <v>0</v>
      </c>
      <c r="G42" s="157">
        <v>98821</v>
      </c>
      <c r="H42" s="156">
        <v>10454.23</v>
      </c>
      <c r="I42" s="156">
        <v>309.89</v>
      </c>
      <c r="J42" s="156">
        <v>0</v>
      </c>
      <c r="K42" s="156">
        <v>346.86</v>
      </c>
      <c r="L42" s="156">
        <v>0</v>
      </c>
      <c r="M42" s="156">
        <v>0</v>
      </c>
      <c r="N42" s="156">
        <f t="shared" si="4"/>
        <v>346.86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0</v>
      </c>
      <c r="W42" s="156">
        <v>0</v>
      </c>
      <c r="X42" s="156">
        <v>0</v>
      </c>
      <c r="Y42" s="156">
        <v>0</v>
      </c>
      <c r="Z42" s="156">
        <v>38.54</v>
      </c>
      <c r="AA42" s="156">
        <v>0</v>
      </c>
      <c r="AB42" s="156">
        <v>0</v>
      </c>
      <c r="AC42" s="156">
        <v>0</v>
      </c>
      <c r="AD42" s="156">
        <v>0</v>
      </c>
      <c r="AE42" s="156">
        <v>0</v>
      </c>
      <c r="AF42" s="156">
        <v>0</v>
      </c>
      <c r="AG42" s="156">
        <v>0</v>
      </c>
      <c r="AH42" s="156">
        <v>0</v>
      </c>
      <c r="AI42" s="156">
        <v>0</v>
      </c>
      <c r="AJ42" s="156">
        <v>0</v>
      </c>
      <c r="AK42" s="156">
        <v>0</v>
      </c>
      <c r="AL42" s="156">
        <v>180.78</v>
      </c>
      <c r="AM42" s="156">
        <v>-509.92</v>
      </c>
      <c r="AN42" s="156">
        <v>0</v>
      </c>
      <c r="AO42" s="156">
        <v>0</v>
      </c>
      <c r="AP42" s="156">
        <v>0</v>
      </c>
      <c r="AQ42" s="156">
        <v>0</v>
      </c>
      <c r="AR42" s="156">
        <v>0</v>
      </c>
      <c r="AS42" s="156">
        <v>0</v>
      </c>
      <c r="AT42" s="156">
        <f t="shared" si="5"/>
        <v>10639.6</v>
      </c>
    </row>
    <row r="43" spans="1:46" ht="11.25" hidden="1" outlineLevel="3">
      <c r="A43" s="155" t="s">
        <v>152</v>
      </c>
      <c r="B43" s="155">
        <v>0</v>
      </c>
      <c r="C43" s="155">
        <v>0</v>
      </c>
      <c r="D43" s="156" t="s">
        <v>62</v>
      </c>
      <c r="E43" s="156" t="s">
        <v>138</v>
      </c>
      <c r="F43" s="157">
        <v>0</v>
      </c>
      <c r="G43" s="157">
        <v>99702</v>
      </c>
      <c r="H43" s="156">
        <v>10550.25</v>
      </c>
      <c r="I43" s="156">
        <v>208.5</v>
      </c>
      <c r="J43" s="156">
        <v>0</v>
      </c>
      <c r="K43" s="156">
        <v>349.95</v>
      </c>
      <c r="L43" s="156">
        <v>0</v>
      </c>
      <c r="M43" s="156">
        <v>0</v>
      </c>
      <c r="N43" s="156">
        <f t="shared" si="4"/>
        <v>349.95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  <c r="Y43" s="156">
        <v>0</v>
      </c>
      <c r="Z43" s="156">
        <v>38.880000000000003</v>
      </c>
      <c r="AA43" s="156">
        <v>0</v>
      </c>
      <c r="AB43" s="156">
        <v>0</v>
      </c>
      <c r="AC43" s="156">
        <v>0</v>
      </c>
      <c r="AD43" s="156">
        <v>0</v>
      </c>
      <c r="AE43" s="156">
        <v>0</v>
      </c>
      <c r="AF43" s="156">
        <v>0</v>
      </c>
      <c r="AG43" s="156">
        <v>0</v>
      </c>
      <c r="AH43" s="156">
        <v>0</v>
      </c>
      <c r="AI43" s="156">
        <v>0</v>
      </c>
      <c r="AJ43" s="156">
        <v>0</v>
      </c>
      <c r="AK43" s="156">
        <v>0</v>
      </c>
      <c r="AL43" s="156">
        <v>104.24</v>
      </c>
      <c r="AM43" s="156">
        <v>-514.46</v>
      </c>
      <c r="AN43" s="156">
        <v>0</v>
      </c>
      <c r="AO43" s="156">
        <v>0</v>
      </c>
      <c r="AP43" s="156">
        <v>0</v>
      </c>
      <c r="AQ43" s="156">
        <v>0</v>
      </c>
      <c r="AR43" s="156">
        <v>0</v>
      </c>
      <c r="AS43" s="156">
        <v>0</v>
      </c>
      <c r="AT43" s="156">
        <f t="shared" si="5"/>
        <v>10633.119999999999</v>
      </c>
    </row>
    <row r="44" spans="1:46" ht="11.25" hidden="1" outlineLevel="3">
      <c r="A44" s="155" t="s">
        <v>152</v>
      </c>
      <c r="B44" s="155">
        <v>0</v>
      </c>
      <c r="C44" s="155">
        <v>0</v>
      </c>
      <c r="D44" s="156" t="s">
        <v>62</v>
      </c>
      <c r="E44" s="156" t="s">
        <v>138</v>
      </c>
      <c r="F44" s="157">
        <v>0</v>
      </c>
      <c r="G44" s="157">
        <v>98020</v>
      </c>
      <c r="H44" s="156">
        <v>10392.23</v>
      </c>
      <c r="I44" s="156">
        <v>410.75</v>
      </c>
      <c r="J44" s="156">
        <v>0</v>
      </c>
      <c r="K44" s="156">
        <v>344.05</v>
      </c>
      <c r="L44" s="156">
        <v>0</v>
      </c>
      <c r="M44" s="156">
        <v>0</v>
      </c>
      <c r="N44" s="156">
        <f t="shared" si="4"/>
        <v>344.05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0</v>
      </c>
      <c r="U44" s="156">
        <v>0</v>
      </c>
      <c r="V44" s="156">
        <v>0</v>
      </c>
      <c r="W44" s="156">
        <v>0</v>
      </c>
      <c r="X44" s="156">
        <v>0</v>
      </c>
      <c r="Y44" s="156">
        <v>0</v>
      </c>
      <c r="Z44" s="156">
        <v>38.229999999999997</v>
      </c>
      <c r="AA44" s="156">
        <v>0</v>
      </c>
      <c r="AB44" s="156">
        <v>0</v>
      </c>
      <c r="AC44" s="156">
        <v>0</v>
      </c>
      <c r="AD44" s="156">
        <v>0</v>
      </c>
      <c r="AE44" s="156">
        <v>0</v>
      </c>
      <c r="AF44" s="156">
        <v>0</v>
      </c>
      <c r="AG44" s="156">
        <v>0</v>
      </c>
      <c r="AH44" s="156">
        <v>0</v>
      </c>
      <c r="AI44" s="156">
        <v>0</v>
      </c>
      <c r="AJ44" s="156">
        <v>0</v>
      </c>
      <c r="AK44" s="156">
        <v>0</v>
      </c>
      <c r="AL44" s="156">
        <v>218.21</v>
      </c>
      <c r="AM44" s="156">
        <v>-505.78</v>
      </c>
      <c r="AN44" s="156">
        <v>0</v>
      </c>
      <c r="AO44" s="156">
        <v>0</v>
      </c>
      <c r="AP44" s="156">
        <v>0</v>
      </c>
      <c r="AQ44" s="156">
        <v>0</v>
      </c>
      <c r="AR44" s="156">
        <v>0</v>
      </c>
      <c r="AS44" s="156">
        <v>0</v>
      </c>
      <c r="AT44" s="156">
        <f t="shared" si="5"/>
        <v>10679.479999999998</v>
      </c>
    </row>
    <row r="45" spans="1:46" ht="11.25" hidden="1" outlineLevel="3">
      <c r="A45" s="155" t="s">
        <v>152</v>
      </c>
      <c r="B45" s="155">
        <v>0</v>
      </c>
      <c r="C45" s="155">
        <v>0</v>
      </c>
      <c r="D45" s="156" t="s">
        <v>62</v>
      </c>
      <c r="E45" s="156" t="s">
        <v>138</v>
      </c>
      <c r="F45" s="157">
        <v>0</v>
      </c>
      <c r="G45" s="157">
        <v>98774</v>
      </c>
      <c r="H45" s="156">
        <v>10444.36</v>
      </c>
      <c r="I45" s="156">
        <v>206.4</v>
      </c>
      <c r="J45" s="156">
        <v>0</v>
      </c>
      <c r="K45" s="156">
        <v>346.69</v>
      </c>
      <c r="L45" s="156">
        <v>0</v>
      </c>
      <c r="M45" s="156">
        <v>0</v>
      </c>
      <c r="N45" s="156">
        <f t="shared" si="4"/>
        <v>346.69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0</v>
      </c>
      <c r="W45" s="156">
        <v>0</v>
      </c>
      <c r="X45" s="156">
        <v>0</v>
      </c>
      <c r="Y45" s="156">
        <v>0</v>
      </c>
      <c r="Z45" s="156">
        <v>38.520000000000003</v>
      </c>
      <c r="AA45" s="156">
        <v>0</v>
      </c>
      <c r="AB45" s="156">
        <v>0</v>
      </c>
      <c r="AC45" s="156">
        <v>0</v>
      </c>
      <c r="AD45" s="156">
        <v>0</v>
      </c>
      <c r="AE45" s="156">
        <v>0</v>
      </c>
      <c r="AF45" s="156">
        <v>0</v>
      </c>
      <c r="AG45" s="156">
        <v>0</v>
      </c>
      <c r="AH45" s="156">
        <v>0</v>
      </c>
      <c r="AI45" s="156">
        <v>0</v>
      </c>
      <c r="AJ45" s="156">
        <v>0</v>
      </c>
      <c r="AK45" s="156">
        <v>0</v>
      </c>
      <c r="AL45" s="156">
        <v>103.22</v>
      </c>
      <c r="AM45" s="156">
        <v>-509.67</v>
      </c>
      <c r="AN45" s="156">
        <v>0</v>
      </c>
      <c r="AO45" s="156">
        <v>0</v>
      </c>
      <c r="AP45" s="156">
        <v>0</v>
      </c>
      <c r="AQ45" s="156">
        <v>0</v>
      </c>
      <c r="AR45" s="156">
        <v>0</v>
      </c>
      <c r="AS45" s="156">
        <v>0</v>
      </c>
      <c r="AT45" s="156">
        <f t="shared" si="5"/>
        <v>10526.300000000001</v>
      </c>
    </row>
    <row r="46" spans="1:46" ht="11.25" hidden="1" outlineLevel="3">
      <c r="A46" s="155" t="s">
        <v>152</v>
      </c>
      <c r="B46" s="155">
        <v>0</v>
      </c>
      <c r="C46" s="155">
        <v>0</v>
      </c>
      <c r="D46" s="156" t="s">
        <v>62</v>
      </c>
      <c r="E46" s="156" t="s">
        <v>138</v>
      </c>
      <c r="F46" s="157">
        <v>0</v>
      </c>
      <c r="G46" s="157">
        <v>99327</v>
      </c>
      <c r="H46" s="156">
        <v>10503.91</v>
      </c>
      <c r="I46" s="156">
        <v>207.58</v>
      </c>
      <c r="J46" s="156">
        <v>0</v>
      </c>
      <c r="K46" s="156">
        <v>348.64</v>
      </c>
      <c r="L46" s="156">
        <v>0</v>
      </c>
      <c r="M46" s="156">
        <v>0</v>
      </c>
      <c r="N46" s="156">
        <f t="shared" si="4"/>
        <v>348.64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38.729999999999997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56">
        <v>0</v>
      </c>
      <c r="AG46" s="156">
        <v>0</v>
      </c>
      <c r="AH46" s="156">
        <v>0</v>
      </c>
      <c r="AI46" s="156">
        <v>0</v>
      </c>
      <c r="AJ46" s="156">
        <v>0</v>
      </c>
      <c r="AK46" s="156">
        <v>0</v>
      </c>
      <c r="AL46" s="156">
        <v>103.8</v>
      </c>
      <c r="AM46" s="156">
        <v>-512.53</v>
      </c>
      <c r="AN46" s="156">
        <v>0</v>
      </c>
      <c r="AO46" s="156">
        <v>0</v>
      </c>
      <c r="AP46" s="156">
        <v>0</v>
      </c>
      <c r="AQ46" s="156">
        <v>0</v>
      </c>
      <c r="AR46" s="156">
        <v>0</v>
      </c>
      <c r="AS46" s="156">
        <v>0</v>
      </c>
      <c r="AT46" s="156">
        <f t="shared" si="5"/>
        <v>10586.329999999998</v>
      </c>
    </row>
    <row r="47" spans="1:46" ht="11.25" hidden="1" outlineLevel="3">
      <c r="A47" s="155" t="s">
        <v>152</v>
      </c>
      <c r="B47" s="155">
        <v>0</v>
      </c>
      <c r="C47" s="155">
        <v>0</v>
      </c>
      <c r="D47" s="156" t="s">
        <v>62</v>
      </c>
      <c r="E47" s="156" t="s">
        <v>138</v>
      </c>
      <c r="F47" s="157">
        <v>0</v>
      </c>
      <c r="G47" s="157">
        <v>99795</v>
      </c>
      <c r="H47" s="156">
        <v>10566.68</v>
      </c>
      <c r="I47" s="156">
        <v>208.81</v>
      </c>
      <c r="J47" s="156">
        <v>0</v>
      </c>
      <c r="K47" s="156">
        <v>350.28</v>
      </c>
      <c r="L47" s="156">
        <v>0</v>
      </c>
      <c r="M47" s="156">
        <v>0</v>
      </c>
      <c r="N47" s="156">
        <f t="shared" si="4"/>
        <v>350.28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6">
        <v>0</v>
      </c>
      <c r="Z47" s="156">
        <v>38.92</v>
      </c>
      <c r="AA47" s="156">
        <v>0</v>
      </c>
      <c r="AB47" s="156">
        <v>0</v>
      </c>
      <c r="AC47" s="156">
        <v>0</v>
      </c>
      <c r="AD47" s="156">
        <v>0</v>
      </c>
      <c r="AE47" s="156">
        <v>0</v>
      </c>
      <c r="AF47" s="156">
        <v>0</v>
      </c>
      <c r="AG47" s="156">
        <v>0</v>
      </c>
      <c r="AH47" s="156">
        <v>0</v>
      </c>
      <c r="AI47" s="156">
        <v>0</v>
      </c>
      <c r="AJ47" s="156">
        <v>0</v>
      </c>
      <c r="AK47" s="156">
        <v>0</v>
      </c>
      <c r="AL47" s="156">
        <v>104.41</v>
      </c>
      <c r="AM47" s="156">
        <v>-514.94000000000005</v>
      </c>
      <c r="AN47" s="156">
        <v>0</v>
      </c>
      <c r="AO47" s="156">
        <v>0</v>
      </c>
      <c r="AP47" s="156">
        <v>0</v>
      </c>
      <c r="AQ47" s="156">
        <v>0</v>
      </c>
      <c r="AR47" s="156">
        <v>0</v>
      </c>
      <c r="AS47" s="156">
        <v>0</v>
      </c>
      <c r="AT47" s="156">
        <f t="shared" si="5"/>
        <v>10649.75</v>
      </c>
    </row>
    <row r="48" spans="1:46" ht="11.25" hidden="1" outlineLevel="3">
      <c r="A48" s="155" t="s">
        <v>152</v>
      </c>
      <c r="B48" s="155">
        <v>0</v>
      </c>
      <c r="C48" s="155">
        <v>0</v>
      </c>
      <c r="D48" s="156" t="s">
        <v>62</v>
      </c>
      <c r="E48" s="156" t="s">
        <v>138</v>
      </c>
      <c r="F48" s="157">
        <v>0</v>
      </c>
      <c r="G48" s="157">
        <v>99472</v>
      </c>
      <c r="H48" s="156">
        <v>10525.15</v>
      </c>
      <c r="I48" s="156">
        <v>207.99</v>
      </c>
      <c r="J48" s="156">
        <v>0</v>
      </c>
      <c r="K48" s="156">
        <v>349.15</v>
      </c>
      <c r="L48" s="156">
        <v>0</v>
      </c>
      <c r="M48" s="156">
        <v>0</v>
      </c>
      <c r="N48" s="156">
        <f t="shared" si="4"/>
        <v>349.15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0</v>
      </c>
      <c r="X48" s="156">
        <v>0</v>
      </c>
      <c r="Y48" s="156">
        <v>0</v>
      </c>
      <c r="Z48" s="156">
        <v>38.799999999999997</v>
      </c>
      <c r="AA48" s="156">
        <v>0</v>
      </c>
      <c r="AB48" s="156">
        <v>0</v>
      </c>
      <c r="AC48" s="156">
        <v>0</v>
      </c>
      <c r="AD48" s="156">
        <v>0</v>
      </c>
      <c r="AE48" s="156">
        <v>0</v>
      </c>
      <c r="AF48" s="156">
        <v>0</v>
      </c>
      <c r="AG48" s="156">
        <v>0</v>
      </c>
      <c r="AH48" s="156">
        <v>0</v>
      </c>
      <c r="AI48" s="156">
        <v>0</v>
      </c>
      <c r="AJ48" s="156">
        <v>0</v>
      </c>
      <c r="AK48" s="156">
        <v>0</v>
      </c>
      <c r="AL48" s="156">
        <v>104</v>
      </c>
      <c r="AM48" s="156">
        <v>-513.27</v>
      </c>
      <c r="AN48" s="156">
        <v>0</v>
      </c>
      <c r="AO48" s="156">
        <v>0</v>
      </c>
      <c r="AP48" s="156">
        <v>0</v>
      </c>
      <c r="AQ48" s="156">
        <v>0</v>
      </c>
      <c r="AR48" s="156">
        <v>0</v>
      </c>
      <c r="AS48" s="156">
        <v>0</v>
      </c>
      <c r="AT48" s="156">
        <f t="shared" si="5"/>
        <v>10607.819999999998</v>
      </c>
    </row>
    <row r="49" spans="1:46" ht="11.25" hidden="1" outlineLevel="3">
      <c r="A49" s="155" t="s">
        <v>152</v>
      </c>
      <c r="B49" s="155">
        <v>0</v>
      </c>
      <c r="C49" s="155">
        <v>0</v>
      </c>
      <c r="D49" s="156" t="s">
        <v>62</v>
      </c>
      <c r="E49" s="156" t="s">
        <v>138</v>
      </c>
      <c r="F49" s="157">
        <v>0</v>
      </c>
      <c r="G49" s="157">
        <v>98836</v>
      </c>
      <c r="H49" s="156">
        <v>10450.91</v>
      </c>
      <c r="I49" s="156">
        <v>206.53</v>
      </c>
      <c r="J49" s="156">
        <v>0</v>
      </c>
      <c r="K49" s="156">
        <v>346.91</v>
      </c>
      <c r="L49" s="156">
        <v>0</v>
      </c>
      <c r="M49" s="156">
        <v>0</v>
      </c>
      <c r="N49" s="156">
        <f t="shared" si="4"/>
        <v>346.91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38.54</v>
      </c>
      <c r="AA49" s="156">
        <v>0</v>
      </c>
      <c r="AB49" s="156">
        <v>0</v>
      </c>
      <c r="AC49" s="156">
        <v>0</v>
      </c>
      <c r="AD49" s="156">
        <v>0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56">
        <v>0</v>
      </c>
      <c r="AK49" s="156">
        <v>0</v>
      </c>
      <c r="AL49" s="156">
        <v>103.27</v>
      </c>
      <c r="AM49" s="156">
        <v>-510</v>
      </c>
      <c r="AN49" s="156">
        <v>0</v>
      </c>
      <c r="AO49" s="156">
        <v>0</v>
      </c>
      <c r="AP49" s="156">
        <v>0</v>
      </c>
      <c r="AQ49" s="156">
        <v>0</v>
      </c>
      <c r="AR49" s="156">
        <v>0</v>
      </c>
      <c r="AS49" s="156">
        <v>0</v>
      </c>
      <c r="AT49" s="156">
        <f t="shared" si="5"/>
        <v>10532.890000000001</v>
      </c>
    </row>
    <row r="50" spans="1:46" ht="11.25" hidden="1" outlineLevel="3">
      <c r="A50" s="155" t="s">
        <v>152</v>
      </c>
      <c r="B50" s="155">
        <v>0</v>
      </c>
      <c r="C50" s="155">
        <v>0</v>
      </c>
      <c r="D50" s="156" t="s">
        <v>62</v>
      </c>
      <c r="E50" s="156" t="s">
        <v>138</v>
      </c>
      <c r="F50" s="157">
        <v>0</v>
      </c>
      <c r="G50" s="157">
        <v>99900</v>
      </c>
      <c r="H50" s="156">
        <v>10566.2</v>
      </c>
      <c r="I50" s="156">
        <v>208.8</v>
      </c>
      <c r="J50" s="156">
        <v>0</v>
      </c>
      <c r="K50" s="156">
        <v>350.65</v>
      </c>
      <c r="L50" s="156">
        <v>0</v>
      </c>
      <c r="M50" s="156">
        <v>0</v>
      </c>
      <c r="N50" s="156">
        <f t="shared" si="4"/>
        <v>350.65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6">
        <v>0</v>
      </c>
      <c r="Z50" s="156">
        <v>38.96</v>
      </c>
      <c r="AA50" s="156">
        <v>0</v>
      </c>
      <c r="AB50" s="156">
        <v>0</v>
      </c>
      <c r="AC50" s="156">
        <v>0</v>
      </c>
      <c r="AD50" s="156">
        <v>0</v>
      </c>
      <c r="AE50" s="156">
        <v>0</v>
      </c>
      <c r="AF50" s="156">
        <v>0</v>
      </c>
      <c r="AG50" s="156">
        <v>0</v>
      </c>
      <c r="AH50" s="156">
        <v>0</v>
      </c>
      <c r="AI50" s="156">
        <v>0</v>
      </c>
      <c r="AJ50" s="156">
        <v>0</v>
      </c>
      <c r="AK50" s="156">
        <v>0</v>
      </c>
      <c r="AL50" s="156">
        <v>26.11</v>
      </c>
      <c r="AM50" s="156">
        <v>-515.48</v>
      </c>
      <c r="AN50" s="156">
        <v>0</v>
      </c>
      <c r="AO50" s="156">
        <v>0</v>
      </c>
      <c r="AP50" s="156">
        <v>0</v>
      </c>
      <c r="AQ50" s="156">
        <v>0</v>
      </c>
      <c r="AR50" s="156">
        <v>0</v>
      </c>
      <c r="AS50" s="156">
        <v>0</v>
      </c>
      <c r="AT50" s="156">
        <f t="shared" si="5"/>
        <v>10649.13</v>
      </c>
    </row>
    <row r="51" spans="1:46" ht="11.25" hidden="1" outlineLevel="3">
      <c r="A51" s="155" t="s">
        <v>152</v>
      </c>
      <c r="B51" s="155">
        <v>0</v>
      </c>
      <c r="C51" s="155">
        <v>0</v>
      </c>
      <c r="D51" s="156" t="s">
        <v>62</v>
      </c>
      <c r="E51" s="156" t="s">
        <v>138</v>
      </c>
      <c r="F51" s="157">
        <v>0</v>
      </c>
      <c r="G51" s="157">
        <v>98946</v>
      </c>
      <c r="H51" s="156">
        <v>10462.549999999999</v>
      </c>
      <c r="I51" s="156">
        <v>206.76</v>
      </c>
      <c r="J51" s="156">
        <v>0</v>
      </c>
      <c r="K51" s="156">
        <v>347.3</v>
      </c>
      <c r="L51" s="156">
        <v>0</v>
      </c>
      <c r="M51" s="156">
        <v>0</v>
      </c>
      <c r="N51" s="156">
        <f t="shared" si="4"/>
        <v>347.3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</v>
      </c>
      <c r="U51" s="156">
        <v>0</v>
      </c>
      <c r="V51" s="156">
        <v>0</v>
      </c>
      <c r="W51" s="156">
        <v>0</v>
      </c>
      <c r="X51" s="156">
        <v>0</v>
      </c>
      <c r="Y51" s="156">
        <v>0</v>
      </c>
      <c r="Z51" s="156">
        <v>38.590000000000003</v>
      </c>
      <c r="AA51" s="156">
        <v>0</v>
      </c>
      <c r="AB51" s="156">
        <v>0</v>
      </c>
      <c r="AC51" s="156">
        <v>0</v>
      </c>
      <c r="AD51" s="156">
        <v>0</v>
      </c>
      <c r="AE51" s="156">
        <v>0</v>
      </c>
      <c r="AF51" s="156">
        <v>0</v>
      </c>
      <c r="AG51" s="156">
        <v>0</v>
      </c>
      <c r="AH51" s="156">
        <v>0</v>
      </c>
      <c r="AI51" s="156">
        <v>0</v>
      </c>
      <c r="AJ51" s="156">
        <v>0</v>
      </c>
      <c r="AK51" s="156">
        <v>0</v>
      </c>
      <c r="AL51" s="156">
        <v>103.38</v>
      </c>
      <c r="AM51" s="156">
        <v>-510.56</v>
      </c>
      <c r="AN51" s="156">
        <v>0</v>
      </c>
      <c r="AO51" s="156">
        <v>0</v>
      </c>
      <c r="AP51" s="156">
        <v>0</v>
      </c>
      <c r="AQ51" s="156">
        <v>0</v>
      </c>
      <c r="AR51" s="156">
        <v>0</v>
      </c>
      <c r="AS51" s="156">
        <v>0</v>
      </c>
      <c r="AT51" s="156">
        <f t="shared" si="5"/>
        <v>10544.64</v>
      </c>
    </row>
    <row r="52" spans="1:46" ht="11.25" hidden="1" outlineLevel="3">
      <c r="A52" s="155" t="s">
        <v>152</v>
      </c>
      <c r="B52" s="155">
        <v>0</v>
      </c>
      <c r="C52" s="155">
        <v>0</v>
      </c>
      <c r="D52" s="156" t="s">
        <v>62</v>
      </c>
      <c r="E52" s="156" t="s">
        <v>138</v>
      </c>
      <c r="F52" s="157">
        <v>0</v>
      </c>
      <c r="G52" s="157">
        <v>99569</v>
      </c>
      <c r="H52" s="156">
        <v>10556.02</v>
      </c>
      <c r="I52" s="156">
        <v>208.61</v>
      </c>
      <c r="J52" s="156">
        <v>0</v>
      </c>
      <c r="K52" s="156">
        <v>349.49</v>
      </c>
      <c r="L52" s="156">
        <v>0</v>
      </c>
      <c r="M52" s="156">
        <v>0</v>
      </c>
      <c r="N52" s="156">
        <f t="shared" si="4"/>
        <v>349.49</v>
      </c>
      <c r="O52" s="156">
        <v>0</v>
      </c>
      <c r="P52" s="156">
        <v>0</v>
      </c>
      <c r="Q52" s="156">
        <v>0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6">
        <v>0</v>
      </c>
      <c r="Z52" s="156">
        <v>38.83</v>
      </c>
      <c r="AA52" s="156">
        <v>0</v>
      </c>
      <c r="AB52" s="156">
        <v>0</v>
      </c>
      <c r="AC52" s="156">
        <v>0</v>
      </c>
      <c r="AD52" s="156">
        <v>0</v>
      </c>
      <c r="AE52" s="156">
        <v>0</v>
      </c>
      <c r="AF52" s="156">
        <v>0</v>
      </c>
      <c r="AG52" s="156">
        <v>0</v>
      </c>
      <c r="AH52" s="156">
        <v>0</v>
      </c>
      <c r="AI52" s="156">
        <v>0</v>
      </c>
      <c r="AJ52" s="156">
        <v>0</v>
      </c>
      <c r="AK52" s="156">
        <v>0</v>
      </c>
      <c r="AL52" s="156">
        <v>299.89</v>
      </c>
      <c r="AM52" s="156">
        <v>-513.78</v>
      </c>
      <c r="AN52" s="156">
        <v>0</v>
      </c>
      <c r="AO52" s="156">
        <v>0</v>
      </c>
      <c r="AP52" s="156">
        <v>0</v>
      </c>
      <c r="AQ52" s="156">
        <v>0</v>
      </c>
      <c r="AR52" s="156">
        <v>0</v>
      </c>
      <c r="AS52" s="156">
        <v>0</v>
      </c>
      <c r="AT52" s="156">
        <f t="shared" si="5"/>
        <v>10639.17</v>
      </c>
    </row>
    <row r="53" spans="1:46" ht="11.25" hidden="1" outlineLevel="3">
      <c r="A53" s="155" t="s">
        <v>152</v>
      </c>
      <c r="B53" s="155">
        <v>0</v>
      </c>
      <c r="C53" s="155">
        <v>0</v>
      </c>
      <c r="D53" s="156" t="s">
        <v>62</v>
      </c>
      <c r="E53" s="156" t="s">
        <v>138</v>
      </c>
      <c r="F53" s="157">
        <v>0</v>
      </c>
      <c r="G53" s="157">
        <v>98956</v>
      </c>
      <c r="H53" s="156">
        <v>10463.6</v>
      </c>
      <c r="I53" s="156">
        <v>206.78</v>
      </c>
      <c r="J53" s="156">
        <v>0</v>
      </c>
      <c r="K53" s="156">
        <v>347.34</v>
      </c>
      <c r="L53" s="156">
        <v>0</v>
      </c>
      <c r="M53" s="156">
        <v>0</v>
      </c>
      <c r="N53" s="156">
        <f t="shared" si="4"/>
        <v>347.34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6">
        <v>0</v>
      </c>
      <c r="Z53" s="156">
        <v>38.6</v>
      </c>
      <c r="AA53" s="156">
        <v>0</v>
      </c>
      <c r="AB53" s="156">
        <v>0</v>
      </c>
      <c r="AC53" s="156">
        <v>0</v>
      </c>
      <c r="AD53" s="156">
        <v>0</v>
      </c>
      <c r="AE53" s="156">
        <v>0</v>
      </c>
      <c r="AF53" s="156">
        <v>0</v>
      </c>
      <c r="AG53" s="156">
        <v>0</v>
      </c>
      <c r="AH53" s="156">
        <v>0</v>
      </c>
      <c r="AI53" s="156">
        <v>0</v>
      </c>
      <c r="AJ53" s="156">
        <v>0</v>
      </c>
      <c r="AK53" s="156">
        <v>0</v>
      </c>
      <c r="AL53" s="156">
        <v>103.39</v>
      </c>
      <c r="AM53" s="156">
        <v>-510.61</v>
      </c>
      <c r="AN53" s="156">
        <v>0</v>
      </c>
      <c r="AO53" s="156">
        <v>0</v>
      </c>
      <c r="AP53" s="156">
        <v>0</v>
      </c>
      <c r="AQ53" s="156">
        <v>0</v>
      </c>
      <c r="AR53" s="156">
        <v>0</v>
      </c>
      <c r="AS53" s="156">
        <v>0</v>
      </c>
      <c r="AT53" s="156">
        <f t="shared" si="5"/>
        <v>10545.710000000001</v>
      </c>
    </row>
    <row r="54" spans="1:46" ht="11.25" hidden="1" outlineLevel="3">
      <c r="A54" s="155" t="s">
        <v>152</v>
      </c>
      <c r="B54" s="155">
        <v>0</v>
      </c>
      <c r="C54" s="155">
        <v>0</v>
      </c>
      <c r="D54" s="156" t="s">
        <v>62</v>
      </c>
      <c r="E54" s="156" t="s">
        <v>138</v>
      </c>
      <c r="F54" s="157">
        <v>0</v>
      </c>
      <c r="G54" s="157">
        <v>99118</v>
      </c>
      <c r="H54" s="156">
        <v>10487.67</v>
      </c>
      <c r="I54" s="156">
        <v>207.26</v>
      </c>
      <c r="J54" s="156">
        <v>0</v>
      </c>
      <c r="K54" s="156">
        <v>347.9</v>
      </c>
      <c r="L54" s="156">
        <v>0</v>
      </c>
      <c r="M54" s="156">
        <v>0</v>
      </c>
      <c r="N54" s="156">
        <f t="shared" si="4"/>
        <v>347.9</v>
      </c>
      <c r="O54" s="156">
        <v>0</v>
      </c>
      <c r="P54" s="156">
        <v>0</v>
      </c>
      <c r="Q54" s="156">
        <v>0</v>
      </c>
      <c r="R54" s="156">
        <v>0</v>
      </c>
      <c r="S54" s="156">
        <v>0</v>
      </c>
      <c r="T54" s="156">
        <v>0</v>
      </c>
      <c r="U54" s="156">
        <v>0</v>
      </c>
      <c r="V54" s="156">
        <v>0</v>
      </c>
      <c r="W54" s="156">
        <v>0</v>
      </c>
      <c r="X54" s="156">
        <v>0</v>
      </c>
      <c r="Y54" s="156">
        <v>0</v>
      </c>
      <c r="Z54" s="156">
        <v>38.659999999999997</v>
      </c>
      <c r="AA54" s="156">
        <v>0</v>
      </c>
      <c r="AB54" s="156">
        <v>0</v>
      </c>
      <c r="AC54" s="156">
        <v>0</v>
      </c>
      <c r="AD54" s="156">
        <v>0</v>
      </c>
      <c r="AE54" s="156">
        <v>0</v>
      </c>
      <c r="AF54" s="156">
        <v>0</v>
      </c>
      <c r="AG54" s="156">
        <v>0</v>
      </c>
      <c r="AH54" s="156">
        <v>0</v>
      </c>
      <c r="AI54" s="156">
        <v>0</v>
      </c>
      <c r="AJ54" s="156">
        <v>0</v>
      </c>
      <c r="AK54" s="156">
        <v>0</v>
      </c>
      <c r="AL54" s="156">
        <v>103.64</v>
      </c>
      <c r="AM54" s="156">
        <v>-511.44</v>
      </c>
      <c r="AN54" s="156">
        <v>0</v>
      </c>
      <c r="AO54" s="156">
        <v>0</v>
      </c>
      <c r="AP54" s="156">
        <v>0</v>
      </c>
      <c r="AQ54" s="156">
        <v>0</v>
      </c>
      <c r="AR54" s="156">
        <v>0</v>
      </c>
      <c r="AS54" s="156">
        <v>0</v>
      </c>
      <c r="AT54" s="156">
        <f t="shared" si="5"/>
        <v>10570.05</v>
      </c>
    </row>
    <row r="55" spans="1:46" ht="11.25" hidden="1" outlineLevel="3">
      <c r="A55" s="155" t="s">
        <v>152</v>
      </c>
      <c r="B55" s="155">
        <v>0</v>
      </c>
      <c r="C55" s="155">
        <v>0</v>
      </c>
      <c r="D55" s="156" t="s">
        <v>62</v>
      </c>
      <c r="E55" s="156" t="s">
        <v>138</v>
      </c>
      <c r="F55" s="157">
        <v>0</v>
      </c>
      <c r="G55" s="157">
        <v>99231</v>
      </c>
      <c r="H55" s="156">
        <v>10503.56</v>
      </c>
      <c r="I55" s="156">
        <v>207.57</v>
      </c>
      <c r="J55" s="156">
        <v>0</v>
      </c>
      <c r="K55" s="156">
        <v>348.3</v>
      </c>
      <c r="L55" s="156">
        <v>0</v>
      </c>
      <c r="M55" s="156">
        <v>0</v>
      </c>
      <c r="N55" s="156">
        <f t="shared" si="4"/>
        <v>348.3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6">
        <v>0</v>
      </c>
      <c r="Z55" s="156">
        <v>38.700000000000003</v>
      </c>
      <c r="AA55" s="156">
        <v>0</v>
      </c>
      <c r="AB55" s="156">
        <v>0</v>
      </c>
      <c r="AC55" s="156">
        <v>0</v>
      </c>
      <c r="AD55" s="156">
        <v>0</v>
      </c>
      <c r="AE55" s="156">
        <v>0</v>
      </c>
      <c r="AF55" s="156">
        <v>0</v>
      </c>
      <c r="AG55" s="156">
        <v>0</v>
      </c>
      <c r="AH55" s="156">
        <v>0</v>
      </c>
      <c r="AI55" s="156">
        <v>0</v>
      </c>
      <c r="AJ55" s="156">
        <v>0</v>
      </c>
      <c r="AK55" s="156">
        <v>0</v>
      </c>
      <c r="AL55" s="156">
        <v>103.78</v>
      </c>
      <c r="AM55" s="156">
        <v>-512.03</v>
      </c>
      <c r="AN55" s="156">
        <v>0</v>
      </c>
      <c r="AO55" s="156">
        <v>0</v>
      </c>
      <c r="AP55" s="156">
        <v>0</v>
      </c>
      <c r="AQ55" s="156">
        <v>0</v>
      </c>
      <c r="AR55" s="156">
        <v>0</v>
      </c>
      <c r="AS55" s="156">
        <v>0</v>
      </c>
      <c r="AT55" s="156">
        <f t="shared" si="5"/>
        <v>10586.099999999999</v>
      </c>
    </row>
    <row r="56" spans="1:46" ht="11.25" hidden="1" outlineLevel="3">
      <c r="A56" s="155" t="s">
        <v>152</v>
      </c>
      <c r="B56" s="155">
        <v>0</v>
      </c>
      <c r="C56" s="155">
        <v>0</v>
      </c>
      <c r="D56" s="156" t="s">
        <v>62</v>
      </c>
      <c r="E56" s="156" t="s">
        <v>138</v>
      </c>
      <c r="F56" s="157">
        <v>0</v>
      </c>
      <c r="G56" s="157">
        <v>96300</v>
      </c>
      <c r="H56" s="156">
        <v>10182.76</v>
      </c>
      <c r="I56" s="156">
        <v>402.46</v>
      </c>
      <c r="J56" s="156">
        <v>0</v>
      </c>
      <c r="K56" s="156">
        <v>338.02</v>
      </c>
      <c r="L56" s="156">
        <v>0</v>
      </c>
      <c r="M56" s="156">
        <v>0</v>
      </c>
      <c r="N56" s="156">
        <f t="shared" si="4"/>
        <v>338.02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  <c r="Y56" s="156">
        <v>0</v>
      </c>
      <c r="Z56" s="156">
        <v>37.56</v>
      </c>
      <c r="AA56" s="156">
        <v>0</v>
      </c>
      <c r="AB56" s="156">
        <v>0</v>
      </c>
      <c r="AC56" s="156">
        <v>0</v>
      </c>
      <c r="AD56" s="156">
        <v>0</v>
      </c>
      <c r="AE56" s="156">
        <v>0</v>
      </c>
      <c r="AF56" s="156">
        <v>0</v>
      </c>
      <c r="AG56" s="156">
        <v>0</v>
      </c>
      <c r="AH56" s="156">
        <v>0</v>
      </c>
      <c r="AI56" s="156">
        <v>0</v>
      </c>
      <c r="AJ56" s="156">
        <v>0</v>
      </c>
      <c r="AK56" s="156">
        <v>0</v>
      </c>
      <c r="AL56" s="156">
        <v>213.82</v>
      </c>
      <c r="AM56" s="156">
        <v>-496.91</v>
      </c>
      <c r="AN56" s="156">
        <v>0</v>
      </c>
      <c r="AO56" s="156">
        <v>0</v>
      </c>
      <c r="AP56" s="156">
        <v>0</v>
      </c>
      <c r="AQ56" s="156">
        <v>0</v>
      </c>
      <c r="AR56" s="156">
        <v>0</v>
      </c>
      <c r="AS56" s="156">
        <v>0</v>
      </c>
      <c r="AT56" s="156">
        <f t="shared" si="5"/>
        <v>10463.89</v>
      </c>
    </row>
    <row r="57" spans="1:46" ht="11.25" hidden="1" outlineLevel="3">
      <c r="A57" s="155" t="s">
        <v>152</v>
      </c>
      <c r="B57" s="155">
        <v>0</v>
      </c>
      <c r="C57" s="155">
        <v>0</v>
      </c>
      <c r="D57" s="156" t="s">
        <v>62</v>
      </c>
      <c r="E57" s="156" t="s">
        <v>138</v>
      </c>
      <c r="F57" s="157">
        <v>0</v>
      </c>
      <c r="G57" s="157">
        <v>97789</v>
      </c>
      <c r="H57" s="156">
        <v>10340.209999999999</v>
      </c>
      <c r="I57" s="156">
        <v>204.34</v>
      </c>
      <c r="J57" s="156">
        <v>0</v>
      </c>
      <c r="K57" s="156">
        <v>343.24</v>
      </c>
      <c r="L57" s="156">
        <v>0</v>
      </c>
      <c r="M57" s="156">
        <v>0</v>
      </c>
      <c r="N57" s="156">
        <f t="shared" si="4"/>
        <v>343.24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0</v>
      </c>
      <c r="V57" s="156">
        <v>0</v>
      </c>
      <c r="W57" s="156">
        <v>0</v>
      </c>
      <c r="X57" s="156">
        <v>0</v>
      </c>
      <c r="Y57" s="156">
        <v>0</v>
      </c>
      <c r="Z57" s="156">
        <v>38.14</v>
      </c>
      <c r="AA57" s="156">
        <v>0</v>
      </c>
      <c r="AB57" s="156">
        <v>0</v>
      </c>
      <c r="AC57" s="156">
        <v>0</v>
      </c>
      <c r="AD57" s="156">
        <v>0</v>
      </c>
      <c r="AE57" s="156">
        <v>0</v>
      </c>
      <c r="AF57" s="156">
        <v>0</v>
      </c>
      <c r="AG57" s="156">
        <v>0</v>
      </c>
      <c r="AH57" s="156">
        <v>0</v>
      </c>
      <c r="AI57" s="156">
        <v>0</v>
      </c>
      <c r="AJ57" s="156">
        <v>0</v>
      </c>
      <c r="AK57" s="156">
        <v>0</v>
      </c>
      <c r="AL57" s="156">
        <v>102.16</v>
      </c>
      <c r="AM57" s="156">
        <v>-504.59</v>
      </c>
      <c r="AN57" s="156">
        <v>0</v>
      </c>
      <c r="AO57" s="156">
        <v>0</v>
      </c>
      <c r="AP57" s="156">
        <v>0</v>
      </c>
      <c r="AQ57" s="156">
        <v>0</v>
      </c>
      <c r="AR57" s="156">
        <v>0</v>
      </c>
      <c r="AS57" s="156">
        <v>0</v>
      </c>
      <c r="AT57" s="156">
        <f t="shared" si="5"/>
        <v>10421.339999999998</v>
      </c>
    </row>
    <row r="58" spans="1:46" ht="11.25" hidden="1" outlineLevel="3">
      <c r="A58" s="155" t="s">
        <v>152</v>
      </c>
      <c r="B58" s="155">
        <v>0</v>
      </c>
      <c r="C58" s="155">
        <v>0</v>
      </c>
      <c r="D58" s="156" t="s">
        <v>62</v>
      </c>
      <c r="E58" s="156" t="s">
        <v>138</v>
      </c>
      <c r="F58" s="157">
        <v>0</v>
      </c>
      <c r="G58" s="157">
        <v>96450</v>
      </c>
      <c r="H58" s="156">
        <v>10198.620000000001</v>
      </c>
      <c r="I58" s="156">
        <v>302.31</v>
      </c>
      <c r="J58" s="156">
        <v>0</v>
      </c>
      <c r="K58" s="156">
        <v>338.54</v>
      </c>
      <c r="L58" s="156">
        <v>0</v>
      </c>
      <c r="M58" s="156">
        <v>0</v>
      </c>
      <c r="N58" s="156">
        <f t="shared" si="4"/>
        <v>338.54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6">
        <v>0</v>
      </c>
      <c r="Z58" s="156">
        <v>37.619999999999997</v>
      </c>
      <c r="AA58" s="156">
        <v>0</v>
      </c>
      <c r="AB58" s="156">
        <v>0</v>
      </c>
      <c r="AC58" s="156">
        <v>0</v>
      </c>
      <c r="AD58" s="156">
        <v>0</v>
      </c>
      <c r="AE58" s="156">
        <v>0</v>
      </c>
      <c r="AF58" s="156">
        <v>0</v>
      </c>
      <c r="AG58" s="156">
        <v>0</v>
      </c>
      <c r="AH58" s="156">
        <v>0</v>
      </c>
      <c r="AI58" s="156">
        <v>0</v>
      </c>
      <c r="AJ58" s="156">
        <v>0</v>
      </c>
      <c r="AK58" s="156">
        <v>0</v>
      </c>
      <c r="AL58" s="156">
        <v>100.77</v>
      </c>
      <c r="AM58" s="156">
        <v>-497.68</v>
      </c>
      <c r="AN58" s="156">
        <v>0</v>
      </c>
      <c r="AO58" s="156">
        <v>0</v>
      </c>
      <c r="AP58" s="156">
        <v>0</v>
      </c>
      <c r="AQ58" s="156">
        <v>0</v>
      </c>
      <c r="AR58" s="156">
        <v>0</v>
      </c>
      <c r="AS58" s="156">
        <v>0</v>
      </c>
      <c r="AT58" s="156">
        <f t="shared" si="5"/>
        <v>10379.410000000002</v>
      </c>
    </row>
    <row r="59" spans="1:46" ht="11.25" hidden="1" outlineLevel="3">
      <c r="A59" s="155" t="s">
        <v>152</v>
      </c>
      <c r="B59" s="155">
        <v>0</v>
      </c>
      <c r="C59" s="155">
        <v>0</v>
      </c>
      <c r="D59" s="156" t="s">
        <v>62</v>
      </c>
      <c r="E59" s="156" t="s">
        <v>138</v>
      </c>
      <c r="F59" s="157">
        <v>0</v>
      </c>
      <c r="G59" s="157">
        <v>99900</v>
      </c>
      <c r="H59" s="156">
        <v>10564.08</v>
      </c>
      <c r="I59" s="156">
        <v>79.069999999999993</v>
      </c>
      <c r="J59" s="156">
        <v>0</v>
      </c>
      <c r="K59" s="156">
        <v>350.65</v>
      </c>
      <c r="L59" s="156">
        <v>0</v>
      </c>
      <c r="M59" s="156">
        <v>0</v>
      </c>
      <c r="N59" s="156">
        <f t="shared" si="4"/>
        <v>350.65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6">
        <v>0</v>
      </c>
      <c r="Z59" s="156">
        <v>38.96</v>
      </c>
      <c r="AA59" s="156">
        <v>0</v>
      </c>
      <c r="AB59" s="156">
        <v>0</v>
      </c>
      <c r="AC59" s="156">
        <v>0</v>
      </c>
      <c r="AD59" s="156">
        <v>0</v>
      </c>
      <c r="AE59" s="156">
        <v>0</v>
      </c>
      <c r="AF59" s="156">
        <v>0</v>
      </c>
      <c r="AG59" s="156">
        <v>0</v>
      </c>
      <c r="AH59" s="156">
        <v>0</v>
      </c>
      <c r="AI59" s="156">
        <v>0</v>
      </c>
      <c r="AJ59" s="156">
        <v>0</v>
      </c>
      <c r="AK59" s="156">
        <v>0</v>
      </c>
      <c r="AL59" s="156">
        <v>0</v>
      </c>
      <c r="AM59" s="156">
        <v>-515.48</v>
      </c>
      <c r="AN59" s="156">
        <v>0</v>
      </c>
      <c r="AO59" s="156">
        <v>0</v>
      </c>
      <c r="AP59" s="156">
        <v>0</v>
      </c>
      <c r="AQ59" s="156">
        <v>0</v>
      </c>
      <c r="AR59" s="156">
        <v>0</v>
      </c>
      <c r="AS59" s="156">
        <v>0</v>
      </c>
      <c r="AT59" s="156">
        <f t="shared" si="5"/>
        <v>10517.279999999999</v>
      </c>
    </row>
    <row r="60" spans="1:46" ht="11.25" hidden="1" outlineLevel="3">
      <c r="A60" s="155" t="s">
        <v>152</v>
      </c>
      <c r="B60" s="155">
        <v>0</v>
      </c>
      <c r="C60" s="155">
        <v>0</v>
      </c>
      <c r="D60" s="156" t="s">
        <v>62</v>
      </c>
      <c r="E60" s="156" t="s">
        <v>138</v>
      </c>
      <c r="F60" s="157">
        <v>0</v>
      </c>
      <c r="G60" s="157">
        <v>99979</v>
      </c>
      <c r="H60" s="156">
        <v>10586.04</v>
      </c>
      <c r="I60" s="156">
        <v>0</v>
      </c>
      <c r="J60" s="156">
        <v>0</v>
      </c>
      <c r="K60" s="156">
        <v>350.93</v>
      </c>
      <c r="L60" s="156">
        <v>0</v>
      </c>
      <c r="M60" s="156">
        <v>0</v>
      </c>
      <c r="N60" s="156">
        <f t="shared" si="4"/>
        <v>350.93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6">
        <v>0</v>
      </c>
      <c r="Z60" s="156">
        <v>38.99</v>
      </c>
      <c r="AA60" s="156">
        <v>0</v>
      </c>
      <c r="AB60" s="156">
        <v>0</v>
      </c>
      <c r="AC60" s="156">
        <v>0</v>
      </c>
      <c r="AD60" s="156">
        <v>0</v>
      </c>
      <c r="AE60" s="156">
        <v>0</v>
      </c>
      <c r="AF60" s="156">
        <v>0</v>
      </c>
      <c r="AG60" s="156">
        <v>0</v>
      </c>
      <c r="AH60" s="156">
        <v>0</v>
      </c>
      <c r="AI60" s="156">
        <v>0</v>
      </c>
      <c r="AJ60" s="156">
        <v>0</v>
      </c>
      <c r="AK60" s="156">
        <v>0</v>
      </c>
      <c r="AL60" s="156">
        <v>26.16</v>
      </c>
      <c r="AM60" s="156">
        <v>-515.89</v>
      </c>
      <c r="AN60" s="156">
        <v>0</v>
      </c>
      <c r="AO60" s="156">
        <v>0</v>
      </c>
      <c r="AP60" s="156">
        <v>0</v>
      </c>
      <c r="AQ60" s="156">
        <v>0</v>
      </c>
      <c r="AR60" s="156">
        <v>0</v>
      </c>
      <c r="AS60" s="156">
        <v>0</v>
      </c>
      <c r="AT60" s="156">
        <f t="shared" si="5"/>
        <v>10460.070000000002</v>
      </c>
    </row>
    <row r="61" spans="1:46" ht="11.25" hidden="1" outlineLevel="3">
      <c r="A61" s="155" t="s">
        <v>152</v>
      </c>
      <c r="B61" s="155">
        <v>0</v>
      </c>
      <c r="C61" s="155">
        <v>0</v>
      </c>
      <c r="D61" s="156" t="s">
        <v>62</v>
      </c>
      <c r="E61" s="156" t="s">
        <v>138</v>
      </c>
      <c r="F61" s="157">
        <v>0</v>
      </c>
      <c r="G61" s="157">
        <v>99900</v>
      </c>
      <c r="H61" s="156">
        <v>10575.95</v>
      </c>
      <c r="I61" s="156">
        <v>0</v>
      </c>
      <c r="J61" s="156">
        <v>0</v>
      </c>
      <c r="K61" s="156">
        <v>350.65</v>
      </c>
      <c r="L61" s="156">
        <v>0</v>
      </c>
      <c r="M61" s="156">
        <v>0</v>
      </c>
      <c r="N61" s="156">
        <f t="shared" si="4"/>
        <v>350.65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6">
        <v>0</v>
      </c>
      <c r="W61" s="156">
        <v>0</v>
      </c>
      <c r="X61" s="156">
        <v>0</v>
      </c>
      <c r="Y61" s="156">
        <v>0</v>
      </c>
      <c r="Z61" s="156">
        <v>38.96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56">
        <v>0</v>
      </c>
      <c r="AG61" s="156">
        <v>0</v>
      </c>
      <c r="AH61" s="156">
        <v>0</v>
      </c>
      <c r="AI61" s="156">
        <v>0</v>
      </c>
      <c r="AJ61" s="156">
        <v>0</v>
      </c>
      <c r="AK61" s="156">
        <v>0</v>
      </c>
      <c r="AL61" s="156">
        <v>26.13</v>
      </c>
      <c r="AM61" s="156">
        <v>-515.48</v>
      </c>
      <c r="AN61" s="156">
        <v>0</v>
      </c>
      <c r="AO61" s="156">
        <v>0</v>
      </c>
      <c r="AP61" s="156">
        <v>0</v>
      </c>
      <c r="AQ61" s="156">
        <v>0</v>
      </c>
      <c r="AR61" s="156">
        <v>0</v>
      </c>
      <c r="AS61" s="156">
        <v>0</v>
      </c>
      <c r="AT61" s="156">
        <f t="shared" si="5"/>
        <v>10450.08</v>
      </c>
    </row>
    <row r="62" spans="1:46" ht="11.25" hidden="1" outlineLevel="3">
      <c r="A62" s="155" t="s">
        <v>152</v>
      </c>
      <c r="B62" s="155">
        <v>0</v>
      </c>
      <c r="C62" s="155">
        <v>0</v>
      </c>
      <c r="D62" s="156" t="s">
        <v>62</v>
      </c>
      <c r="E62" s="156" t="s">
        <v>138</v>
      </c>
      <c r="F62" s="157">
        <v>0</v>
      </c>
      <c r="G62" s="157">
        <v>99360</v>
      </c>
      <c r="H62" s="156">
        <v>10506.32</v>
      </c>
      <c r="I62" s="156">
        <v>0</v>
      </c>
      <c r="J62" s="156">
        <v>0</v>
      </c>
      <c r="K62" s="156">
        <v>348.75</v>
      </c>
      <c r="L62" s="156">
        <v>0</v>
      </c>
      <c r="M62" s="156">
        <v>0</v>
      </c>
      <c r="N62" s="156">
        <f t="shared" si="4"/>
        <v>348.75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0</v>
      </c>
      <c r="U62" s="156">
        <v>0</v>
      </c>
      <c r="V62" s="156">
        <v>0</v>
      </c>
      <c r="W62" s="156">
        <v>0</v>
      </c>
      <c r="X62" s="156">
        <v>0</v>
      </c>
      <c r="Y62" s="156">
        <v>0</v>
      </c>
      <c r="Z62" s="156">
        <v>38.75</v>
      </c>
      <c r="AA62" s="156">
        <v>0</v>
      </c>
      <c r="AB62" s="156">
        <v>0</v>
      </c>
      <c r="AC62" s="156">
        <v>0</v>
      </c>
      <c r="AD62" s="156">
        <v>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0</v>
      </c>
      <c r="AL62" s="156">
        <v>25.96</v>
      </c>
      <c r="AM62" s="156">
        <v>-512.70000000000005</v>
      </c>
      <c r="AN62" s="156">
        <v>0</v>
      </c>
      <c r="AO62" s="156">
        <v>0</v>
      </c>
      <c r="AP62" s="156">
        <v>0</v>
      </c>
      <c r="AQ62" s="156">
        <v>0</v>
      </c>
      <c r="AR62" s="156">
        <v>0</v>
      </c>
      <c r="AS62" s="156">
        <v>0</v>
      </c>
      <c r="AT62" s="156">
        <f t="shared" si="5"/>
        <v>10381.119999999999</v>
      </c>
    </row>
    <row r="63" spans="1:46" ht="11.25" hidden="1" outlineLevel="3">
      <c r="A63" s="155" t="s">
        <v>152</v>
      </c>
      <c r="B63" s="155">
        <v>0</v>
      </c>
      <c r="C63" s="155">
        <v>0</v>
      </c>
      <c r="D63" s="156" t="s">
        <v>62</v>
      </c>
      <c r="E63" s="156" t="s">
        <v>138</v>
      </c>
      <c r="F63" s="157">
        <v>0</v>
      </c>
      <c r="G63" s="157">
        <v>99440</v>
      </c>
      <c r="H63" s="156">
        <v>10516.35</v>
      </c>
      <c r="I63" s="156">
        <v>0</v>
      </c>
      <c r="J63" s="156">
        <v>0</v>
      </c>
      <c r="K63" s="156">
        <v>349.04</v>
      </c>
      <c r="L63" s="156">
        <v>0</v>
      </c>
      <c r="M63" s="156">
        <v>0</v>
      </c>
      <c r="N63" s="156">
        <f t="shared" si="4"/>
        <v>349.04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0</v>
      </c>
      <c r="X63" s="156">
        <v>0</v>
      </c>
      <c r="Y63" s="156">
        <v>0</v>
      </c>
      <c r="Z63" s="156">
        <v>38.78</v>
      </c>
      <c r="AA63" s="156">
        <v>0</v>
      </c>
      <c r="AB63" s="156">
        <v>0</v>
      </c>
      <c r="AC63" s="156">
        <v>0</v>
      </c>
      <c r="AD63" s="156">
        <v>0</v>
      </c>
      <c r="AE63" s="156">
        <v>0</v>
      </c>
      <c r="AF63" s="156">
        <v>0</v>
      </c>
      <c r="AG63" s="156">
        <v>0</v>
      </c>
      <c r="AH63" s="156">
        <v>0</v>
      </c>
      <c r="AI63" s="156">
        <v>0</v>
      </c>
      <c r="AJ63" s="156">
        <v>0</v>
      </c>
      <c r="AK63" s="156">
        <v>0</v>
      </c>
      <c r="AL63" s="156">
        <v>26</v>
      </c>
      <c r="AM63" s="156">
        <v>-513.11</v>
      </c>
      <c r="AN63" s="156">
        <v>0</v>
      </c>
      <c r="AO63" s="156">
        <v>0</v>
      </c>
      <c r="AP63" s="156">
        <v>0</v>
      </c>
      <c r="AQ63" s="156">
        <v>0</v>
      </c>
      <c r="AR63" s="156">
        <v>0</v>
      </c>
      <c r="AS63" s="156">
        <v>0</v>
      </c>
      <c r="AT63" s="156">
        <f t="shared" si="5"/>
        <v>10391.060000000001</v>
      </c>
    </row>
    <row r="64" spans="1:46" ht="11.25" hidden="1" outlineLevel="3">
      <c r="A64" s="155" t="s">
        <v>152</v>
      </c>
      <c r="B64" s="155">
        <v>0</v>
      </c>
      <c r="C64" s="155">
        <v>0</v>
      </c>
      <c r="D64" s="156" t="s">
        <v>62</v>
      </c>
      <c r="E64" s="156" t="s">
        <v>138</v>
      </c>
      <c r="F64" s="157">
        <v>0</v>
      </c>
      <c r="G64" s="157">
        <v>99990</v>
      </c>
      <c r="H64" s="156">
        <v>10586.56</v>
      </c>
      <c r="I64" s="156">
        <v>0</v>
      </c>
      <c r="J64" s="156">
        <v>0</v>
      </c>
      <c r="K64" s="156">
        <v>350.96</v>
      </c>
      <c r="L64" s="156">
        <v>0</v>
      </c>
      <c r="M64" s="156">
        <v>0</v>
      </c>
      <c r="N64" s="156">
        <f t="shared" si="4"/>
        <v>350.96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0</v>
      </c>
      <c r="X64" s="156">
        <v>0</v>
      </c>
      <c r="Y64" s="156">
        <v>0</v>
      </c>
      <c r="Z64" s="156">
        <v>39</v>
      </c>
      <c r="AA64" s="156">
        <v>0</v>
      </c>
      <c r="AB64" s="156">
        <v>0</v>
      </c>
      <c r="AC64" s="156">
        <v>0</v>
      </c>
      <c r="AD64" s="156">
        <v>0</v>
      </c>
      <c r="AE64" s="156">
        <v>0</v>
      </c>
      <c r="AF64" s="156">
        <v>0</v>
      </c>
      <c r="AG64" s="156">
        <v>0</v>
      </c>
      <c r="AH64" s="156">
        <v>0</v>
      </c>
      <c r="AI64" s="156">
        <v>0</v>
      </c>
      <c r="AJ64" s="156">
        <v>0</v>
      </c>
      <c r="AK64" s="156">
        <v>0</v>
      </c>
      <c r="AL64" s="156">
        <v>0</v>
      </c>
      <c r="AM64" s="156">
        <v>-515.95000000000005</v>
      </c>
      <c r="AN64" s="156">
        <v>0</v>
      </c>
      <c r="AO64" s="156">
        <v>0</v>
      </c>
      <c r="AP64" s="156">
        <v>0</v>
      </c>
      <c r="AQ64" s="156">
        <v>0</v>
      </c>
      <c r="AR64" s="156">
        <v>0</v>
      </c>
      <c r="AS64" s="156">
        <v>0</v>
      </c>
      <c r="AT64" s="156">
        <f t="shared" si="5"/>
        <v>10460.569999999998</v>
      </c>
    </row>
    <row r="65" spans="1:46" ht="11.25" hidden="1" outlineLevel="3">
      <c r="A65" s="155" t="s">
        <v>152</v>
      </c>
      <c r="B65" s="155">
        <v>0</v>
      </c>
      <c r="C65" s="155">
        <v>0</v>
      </c>
      <c r="D65" s="156" t="s">
        <v>62</v>
      </c>
      <c r="E65" s="156" t="s">
        <v>138</v>
      </c>
      <c r="F65" s="157">
        <v>0</v>
      </c>
      <c r="G65" s="157">
        <v>99930</v>
      </c>
      <c r="H65" s="156">
        <v>10580.18</v>
      </c>
      <c r="I65" s="156">
        <v>0</v>
      </c>
      <c r="J65" s="156">
        <v>0</v>
      </c>
      <c r="K65" s="156">
        <v>350.75</v>
      </c>
      <c r="L65" s="156">
        <v>0</v>
      </c>
      <c r="M65" s="156">
        <v>0</v>
      </c>
      <c r="N65" s="156">
        <f t="shared" si="4"/>
        <v>350.75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v>0</v>
      </c>
      <c r="X65" s="156">
        <v>0</v>
      </c>
      <c r="Y65" s="156">
        <v>0</v>
      </c>
      <c r="Z65" s="156">
        <v>38.97</v>
      </c>
      <c r="AA65" s="156">
        <v>0</v>
      </c>
      <c r="AB65" s="156">
        <v>0</v>
      </c>
      <c r="AC65" s="156">
        <v>0</v>
      </c>
      <c r="AD65" s="156">
        <v>0</v>
      </c>
      <c r="AE65" s="156">
        <v>0</v>
      </c>
      <c r="AF65" s="156">
        <v>0</v>
      </c>
      <c r="AG65" s="156">
        <v>0</v>
      </c>
      <c r="AH65" s="156">
        <v>0</v>
      </c>
      <c r="AI65" s="156">
        <v>0</v>
      </c>
      <c r="AJ65" s="156">
        <v>0</v>
      </c>
      <c r="AK65" s="156">
        <v>0</v>
      </c>
      <c r="AL65" s="156">
        <v>0</v>
      </c>
      <c r="AM65" s="156">
        <v>-515.64</v>
      </c>
      <c r="AN65" s="156">
        <v>0</v>
      </c>
      <c r="AO65" s="156">
        <v>0</v>
      </c>
      <c r="AP65" s="156">
        <v>0</v>
      </c>
      <c r="AQ65" s="156">
        <v>0</v>
      </c>
      <c r="AR65" s="156">
        <v>0</v>
      </c>
      <c r="AS65" s="156">
        <v>0</v>
      </c>
      <c r="AT65" s="156">
        <f t="shared" si="5"/>
        <v>10454.26</v>
      </c>
    </row>
    <row r="66" spans="1:46" ht="11.25" hidden="1" outlineLevel="3">
      <c r="A66" s="155" t="s">
        <v>152</v>
      </c>
      <c r="B66" s="155">
        <v>0</v>
      </c>
      <c r="C66" s="155">
        <v>0</v>
      </c>
      <c r="D66" s="156" t="s">
        <v>62</v>
      </c>
      <c r="E66" s="156" t="s">
        <v>138</v>
      </c>
      <c r="F66" s="157">
        <v>0</v>
      </c>
      <c r="G66" s="157">
        <v>99763</v>
      </c>
      <c r="H66" s="156">
        <v>10561.15</v>
      </c>
      <c r="I66" s="156">
        <v>0</v>
      </c>
      <c r="J66" s="156">
        <v>0</v>
      </c>
      <c r="K66" s="156">
        <v>350.17</v>
      </c>
      <c r="L66" s="156">
        <v>0</v>
      </c>
      <c r="M66" s="156">
        <v>0</v>
      </c>
      <c r="N66" s="156">
        <f t="shared" si="4"/>
        <v>350.17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56">
        <v>0</v>
      </c>
      <c r="Y66" s="156">
        <v>0</v>
      </c>
      <c r="Z66" s="156">
        <v>38.909999999999997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56">
        <v>0</v>
      </c>
      <c r="AG66" s="156">
        <v>0</v>
      </c>
      <c r="AH66" s="156">
        <v>0</v>
      </c>
      <c r="AI66" s="156">
        <v>0</v>
      </c>
      <c r="AJ66" s="156">
        <v>0</v>
      </c>
      <c r="AK66" s="156">
        <v>0</v>
      </c>
      <c r="AL66" s="156">
        <v>104.37</v>
      </c>
      <c r="AM66" s="156">
        <v>-514.77</v>
      </c>
      <c r="AN66" s="156">
        <v>0</v>
      </c>
      <c r="AO66" s="156">
        <v>0</v>
      </c>
      <c r="AP66" s="156">
        <v>0</v>
      </c>
      <c r="AQ66" s="156">
        <v>0</v>
      </c>
      <c r="AR66" s="156">
        <v>0</v>
      </c>
      <c r="AS66" s="156">
        <v>0</v>
      </c>
      <c r="AT66" s="156">
        <f t="shared" si="5"/>
        <v>10435.459999999999</v>
      </c>
    </row>
    <row r="67" spans="1:46" ht="11.25" hidden="1" outlineLevel="3">
      <c r="A67" s="155" t="s">
        <v>152</v>
      </c>
      <c r="B67" s="155">
        <v>0</v>
      </c>
      <c r="C67" s="155">
        <v>0</v>
      </c>
      <c r="D67" s="156" t="s">
        <v>62</v>
      </c>
      <c r="E67" s="156" t="s">
        <v>138</v>
      </c>
      <c r="F67" s="157">
        <v>0</v>
      </c>
      <c r="G67" s="157">
        <v>99251</v>
      </c>
      <c r="H67" s="156">
        <v>10494.8</v>
      </c>
      <c r="I67" s="156">
        <v>0</v>
      </c>
      <c r="J67" s="156">
        <v>0</v>
      </c>
      <c r="K67" s="156">
        <v>348.37</v>
      </c>
      <c r="L67" s="156">
        <v>0</v>
      </c>
      <c r="M67" s="156">
        <v>0</v>
      </c>
      <c r="N67" s="156">
        <f t="shared" si="4"/>
        <v>348.37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56">
        <v>0</v>
      </c>
      <c r="Z67" s="156">
        <v>38.700000000000003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56">
        <v>25.92</v>
      </c>
      <c r="AM67" s="156">
        <v>-512.13</v>
      </c>
      <c r="AN67" s="156">
        <v>0</v>
      </c>
      <c r="AO67" s="156">
        <v>0</v>
      </c>
      <c r="AP67" s="156">
        <v>0</v>
      </c>
      <c r="AQ67" s="156">
        <v>0</v>
      </c>
      <c r="AR67" s="156">
        <v>0</v>
      </c>
      <c r="AS67" s="156">
        <v>0</v>
      </c>
      <c r="AT67" s="156">
        <f t="shared" si="5"/>
        <v>10369.740000000002</v>
      </c>
    </row>
    <row r="68" spans="1:46" ht="11.25" hidden="1" outlineLevel="3">
      <c r="A68" s="155" t="s">
        <v>152</v>
      </c>
      <c r="B68" s="155">
        <v>0</v>
      </c>
      <c r="C68" s="155">
        <v>0</v>
      </c>
      <c r="D68" s="156" t="s">
        <v>62</v>
      </c>
      <c r="E68" s="156" t="s">
        <v>138</v>
      </c>
      <c r="F68" s="157">
        <v>0</v>
      </c>
      <c r="G68" s="157">
        <v>99592</v>
      </c>
      <c r="H68" s="156">
        <v>10544.1</v>
      </c>
      <c r="I68" s="156">
        <v>0</v>
      </c>
      <c r="J68" s="156">
        <v>0</v>
      </c>
      <c r="K68" s="156">
        <v>349.56</v>
      </c>
      <c r="L68" s="156">
        <v>0</v>
      </c>
      <c r="M68" s="156">
        <v>0</v>
      </c>
      <c r="N68" s="156">
        <f t="shared" si="4"/>
        <v>349.56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0</v>
      </c>
      <c r="X68" s="156">
        <v>0</v>
      </c>
      <c r="Y68" s="156">
        <v>0</v>
      </c>
      <c r="Z68" s="156">
        <v>38.840000000000003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56">
        <v>0</v>
      </c>
      <c r="AG68" s="156">
        <v>0</v>
      </c>
      <c r="AH68" s="156">
        <v>0</v>
      </c>
      <c r="AI68" s="156">
        <v>0</v>
      </c>
      <c r="AJ68" s="156">
        <v>0</v>
      </c>
      <c r="AK68" s="156">
        <v>0</v>
      </c>
      <c r="AL68" s="156">
        <v>26.04</v>
      </c>
      <c r="AM68" s="156">
        <v>-513.89</v>
      </c>
      <c r="AN68" s="156">
        <v>0</v>
      </c>
      <c r="AO68" s="156">
        <v>0</v>
      </c>
      <c r="AP68" s="156">
        <v>0</v>
      </c>
      <c r="AQ68" s="156">
        <v>0</v>
      </c>
      <c r="AR68" s="156">
        <v>0</v>
      </c>
      <c r="AS68" s="156">
        <v>0</v>
      </c>
      <c r="AT68" s="156">
        <f t="shared" si="5"/>
        <v>10418.61</v>
      </c>
    </row>
    <row r="69" spans="1:46" ht="11.25" hidden="1" outlineLevel="3">
      <c r="A69" s="155" t="s">
        <v>152</v>
      </c>
      <c r="B69" s="155">
        <v>0</v>
      </c>
      <c r="C69" s="155">
        <v>0</v>
      </c>
      <c r="D69" s="156" t="s">
        <v>62</v>
      </c>
      <c r="E69" s="156" t="s">
        <v>138</v>
      </c>
      <c r="F69" s="157">
        <v>0</v>
      </c>
      <c r="G69" s="157">
        <v>99193</v>
      </c>
      <c r="H69" s="156">
        <v>10494.8</v>
      </c>
      <c r="I69" s="156">
        <v>0</v>
      </c>
      <c r="J69" s="156">
        <v>0</v>
      </c>
      <c r="K69" s="156">
        <v>348.17</v>
      </c>
      <c r="L69" s="156">
        <v>0</v>
      </c>
      <c r="M69" s="156">
        <v>0</v>
      </c>
      <c r="N69" s="156">
        <f t="shared" si="4"/>
        <v>348.17</v>
      </c>
      <c r="O69" s="156">
        <v>0</v>
      </c>
      <c r="P69" s="156">
        <v>0</v>
      </c>
      <c r="Q69" s="156">
        <v>0</v>
      </c>
      <c r="R69" s="156">
        <v>0</v>
      </c>
      <c r="S69" s="156">
        <v>0</v>
      </c>
      <c r="T69" s="156">
        <v>0</v>
      </c>
      <c r="U69" s="156">
        <v>0</v>
      </c>
      <c r="V69" s="156">
        <v>0</v>
      </c>
      <c r="W69" s="156">
        <v>0</v>
      </c>
      <c r="X69" s="156">
        <v>0</v>
      </c>
      <c r="Y69" s="156">
        <v>0</v>
      </c>
      <c r="Z69" s="156">
        <v>38.68</v>
      </c>
      <c r="AA69" s="156">
        <v>0</v>
      </c>
      <c r="AB69" s="156">
        <v>0</v>
      </c>
      <c r="AC69" s="156">
        <v>0</v>
      </c>
      <c r="AD69" s="156">
        <v>0</v>
      </c>
      <c r="AE69" s="156">
        <v>0</v>
      </c>
      <c r="AF69" s="156">
        <v>0</v>
      </c>
      <c r="AG69" s="156">
        <v>0</v>
      </c>
      <c r="AH69" s="156">
        <v>0</v>
      </c>
      <c r="AI69" s="156">
        <v>0</v>
      </c>
      <c r="AJ69" s="156">
        <v>0</v>
      </c>
      <c r="AK69" s="156">
        <v>0</v>
      </c>
      <c r="AL69" s="156">
        <v>0</v>
      </c>
      <c r="AM69" s="156">
        <v>-511.83</v>
      </c>
      <c r="AN69" s="156">
        <v>0</v>
      </c>
      <c r="AO69" s="156">
        <v>0</v>
      </c>
      <c r="AP69" s="156">
        <v>0</v>
      </c>
      <c r="AQ69" s="156">
        <v>0</v>
      </c>
      <c r="AR69" s="156">
        <v>0</v>
      </c>
      <c r="AS69" s="156">
        <v>0</v>
      </c>
      <c r="AT69" s="156">
        <f t="shared" si="5"/>
        <v>10369.82</v>
      </c>
    </row>
    <row r="70" spans="1:46" ht="11.25" hidden="1" outlineLevel="3">
      <c r="A70" s="155" t="s">
        <v>152</v>
      </c>
      <c r="B70" s="155">
        <v>0</v>
      </c>
      <c r="C70" s="155">
        <v>0</v>
      </c>
      <c r="D70" s="156" t="s">
        <v>62</v>
      </c>
      <c r="E70" s="156" t="s">
        <v>138</v>
      </c>
      <c r="F70" s="157">
        <v>0</v>
      </c>
      <c r="G70" s="157">
        <v>99283</v>
      </c>
      <c r="H70" s="156">
        <v>10512.05</v>
      </c>
      <c r="I70" s="156">
        <v>0</v>
      </c>
      <c r="J70" s="156">
        <v>0</v>
      </c>
      <c r="K70" s="156">
        <v>348.48</v>
      </c>
      <c r="L70" s="156">
        <v>0</v>
      </c>
      <c r="M70" s="156">
        <v>0</v>
      </c>
      <c r="N70" s="156">
        <f t="shared" si="4"/>
        <v>348.48</v>
      </c>
      <c r="O70" s="156">
        <v>0</v>
      </c>
      <c r="P70" s="156">
        <v>0</v>
      </c>
      <c r="Q70" s="156">
        <v>0</v>
      </c>
      <c r="R70" s="156">
        <v>0</v>
      </c>
      <c r="S70" s="156">
        <v>0</v>
      </c>
      <c r="T70" s="156">
        <v>0</v>
      </c>
      <c r="U70" s="156">
        <v>0</v>
      </c>
      <c r="V70" s="156">
        <v>0</v>
      </c>
      <c r="W70" s="156">
        <v>0</v>
      </c>
      <c r="X70" s="156">
        <v>0</v>
      </c>
      <c r="Y70" s="156">
        <v>0</v>
      </c>
      <c r="Z70" s="156">
        <v>38.72</v>
      </c>
      <c r="AA70" s="156">
        <v>0</v>
      </c>
      <c r="AB70" s="156">
        <v>0</v>
      </c>
      <c r="AC70" s="156">
        <v>0</v>
      </c>
      <c r="AD70" s="156">
        <v>0</v>
      </c>
      <c r="AE70" s="156">
        <v>0</v>
      </c>
      <c r="AF70" s="156">
        <v>0</v>
      </c>
      <c r="AG70" s="156">
        <v>0</v>
      </c>
      <c r="AH70" s="156">
        <v>0</v>
      </c>
      <c r="AI70" s="156">
        <v>0</v>
      </c>
      <c r="AJ70" s="156">
        <v>0</v>
      </c>
      <c r="AK70" s="156">
        <v>0</v>
      </c>
      <c r="AL70" s="156">
        <v>0</v>
      </c>
      <c r="AM70" s="156">
        <v>-512.30999999999995</v>
      </c>
      <c r="AN70" s="156">
        <v>0</v>
      </c>
      <c r="AO70" s="156">
        <v>0</v>
      </c>
      <c r="AP70" s="156">
        <v>0</v>
      </c>
      <c r="AQ70" s="156">
        <v>0</v>
      </c>
      <c r="AR70" s="156">
        <v>0</v>
      </c>
      <c r="AS70" s="156">
        <v>0</v>
      </c>
      <c r="AT70" s="156">
        <f t="shared" si="5"/>
        <v>10386.939999999999</v>
      </c>
    </row>
    <row r="71" spans="1:46" ht="11.25" hidden="1" outlineLevel="3">
      <c r="A71" s="155" t="s">
        <v>152</v>
      </c>
      <c r="B71" s="155">
        <v>0</v>
      </c>
      <c r="C71" s="155">
        <v>0</v>
      </c>
      <c r="D71" s="156" t="s">
        <v>62</v>
      </c>
      <c r="E71" s="156" t="s">
        <v>138</v>
      </c>
      <c r="F71" s="157">
        <v>0</v>
      </c>
      <c r="G71" s="157">
        <v>99036</v>
      </c>
      <c r="H71" s="156">
        <v>10486.66</v>
      </c>
      <c r="I71" s="156">
        <v>0</v>
      </c>
      <c r="J71" s="156">
        <v>0</v>
      </c>
      <c r="K71" s="156">
        <v>347.62</v>
      </c>
      <c r="L71" s="156">
        <v>0</v>
      </c>
      <c r="M71" s="156">
        <v>0</v>
      </c>
      <c r="N71" s="156">
        <f t="shared" si="4"/>
        <v>347.62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38.619999999999997</v>
      </c>
      <c r="AA71" s="156">
        <v>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0</v>
      </c>
      <c r="AI71" s="156">
        <v>0</v>
      </c>
      <c r="AJ71" s="156">
        <v>0</v>
      </c>
      <c r="AK71" s="156">
        <v>0</v>
      </c>
      <c r="AL71" s="156">
        <v>0</v>
      </c>
      <c r="AM71" s="156">
        <v>-511.03</v>
      </c>
      <c r="AN71" s="156">
        <v>0</v>
      </c>
      <c r="AO71" s="156">
        <v>0</v>
      </c>
      <c r="AP71" s="156">
        <v>0</v>
      </c>
      <c r="AQ71" s="156">
        <v>0</v>
      </c>
      <c r="AR71" s="156">
        <v>0</v>
      </c>
      <c r="AS71" s="156">
        <v>0</v>
      </c>
      <c r="AT71" s="156">
        <f t="shared" si="5"/>
        <v>10361.870000000001</v>
      </c>
    </row>
    <row r="72" spans="1:46" ht="11.25" hidden="1" outlineLevel="3">
      <c r="A72" s="155" t="s">
        <v>152</v>
      </c>
      <c r="B72" s="155">
        <v>0</v>
      </c>
      <c r="C72" s="155">
        <v>0</v>
      </c>
      <c r="D72" s="156" t="s">
        <v>62</v>
      </c>
      <c r="E72" s="156" t="s">
        <v>138</v>
      </c>
      <c r="F72" s="157">
        <v>0</v>
      </c>
      <c r="G72" s="157">
        <v>96612</v>
      </c>
      <c r="H72" s="156">
        <v>10223.51</v>
      </c>
      <c r="I72" s="156">
        <v>202.04</v>
      </c>
      <c r="J72" s="156">
        <v>0</v>
      </c>
      <c r="K72" s="156">
        <v>339.1</v>
      </c>
      <c r="L72" s="156">
        <v>0</v>
      </c>
      <c r="M72" s="156">
        <v>0</v>
      </c>
      <c r="N72" s="156">
        <f t="shared" si="4"/>
        <v>339.1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56">
        <v>0</v>
      </c>
      <c r="Y72" s="156">
        <v>0</v>
      </c>
      <c r="Z72" s="156">
        <v>37.68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56">
        <v>0</v>
      </c>
      <c r="AG72" s="156">
        <v>0</v>
      </c>
      <c r="AH72" s="156">
        <v>0</v>
      </c>
      <c r="AI72" s="156">
        <v>0</v>
      </c>
      <c r="AJ72" s="156">
        <v>0</v>
      </c>
      <c r="AK72" s="156">
        <v>0</v>
      </c>
      <c r="AL72" s="156">
        <v>101.01</v>
      </c>
      <c r="AM72" s="156">
        <v>-498.52</v>
      </c>
      <c r="AN72" s="156">
        <v>0</v>
      </c>
      <c r="AO72" s="156">
        <v>0</v>
      </c>
      <c r="AP72" s="156">
        <v>0</v>
      </c>
      <c r="AQ72" s="156">
        <v>0</v>
      </c>
      <c r="AR72" s="156">
        <v>0</v>
      </c>
      <c r="AS72" s="156">
        <v>0</v>
      </c>
      <c r="AT72" s="156">
        <f t="shared" si="5"/>
        <v>10303.810000000001</v>
      </c>
    </row>
    <row r="73" spans="1:46" ht="11.25" hidden="1" outlineLevel="3">
      <c r="A73" s="155" t="s">
        <v>152</v>
      </c>
      <c r="B73" s="155">
        <v>0</v>
      </c>
      <c r="C73" s="155">
        <v>0</v>
      </c>
      <c r="D73" s="156" t="s">
        <v>62</v>
      </c>
      <c r="E73" s="156" t="s">
        <v>138</v>
      </c>
      <c r="F73" s="157">
        <v>0</v>
      </c>
      <c r="G73" s="157">
        <v>93605</v>
      </c>
      <c r="H73" s="156">
        <v>9925.39</v>
      </c>
      <c r="I73" s="156">
        <v>392.3</v>
      </c>
      <c r="J73" s="156">
        <v>0</v>
      </c>
      <c r="K73" s="156">
        <v>328.55</v>
      </c>
      <c r="L73" s="156">
        <v>0</v>
      </c>
      <c r="M73" s="156">
        <v>0</v>
      </c>
      <c r="N73" s="156">
        <f t="shared" si="4"/>
        <v>328.55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  <c r="Y73" s="156">
        <v>0</v>
      </c>
      <c r="Z73" s="156">
        <v>36.51</v>
      </c>
      <c r="AA73" s="156">
        <v>0</v>
      </c>
      <c r="AB73" s="156">
        <v>0</v>
      </c>
      <c r="AC73" s="156">
        <v>0</v>
      </c>
      <c r="AD73" s="156">
        <v>0</v>
      </c>
      <c r="AE73" s="156">
        <v>0</v>
      </c>
      <c r="AF73" s="156">
        <v>0</v>
      </c>
      <c r="AG73" s="156">
        <v>0</v>
      </c>
      <c r="AH73" s="156">
        <v>0</v>
      </c>
      <c r="AI73" s="156">
        <v>0</v>
      </c>
      <c r="AJ73" s="156">
        <v>0</v>
      </c>
      <c r="AK73" s="156">
        <v>0</v>
      </c>
      <c r="AL73" s="156">
        <v>208.42000000000002</v>
      </c>
      <c r="AM73" s="156">
        <v>-483</v>
      </c>
      <c r="AN73" s="156">
        <v>0</v>
      </c>
      <c r="AO73" s="156">
        <v>0</v>
      </c>
      <c r="AP73" s="156">
        <v>0</v>
      </c>
      <c r="AQ73" s="156">
        <v>0</v>
      </c>
      <c r="AR73" s="156">
        <v>0</v>
      </c>
      <c r="AS73" s="156">
        <v>0</v>
      </c>
      <c r="AT73" s="156">
        <f t="shared" si="5"/>
        <v>10199.749999999998</v>
      </c>
    </row>
    <row r="74" spans="1:46" ht="11.25" hidden="1" outlineLevel="3">
      <c r="A74" s="155" t="s">
        <v>152</v>
      </c>
      <c r="B74" s="155">
        <v>0</v>
      </c>
      <c r="C74" s="155">
        <v>0</v>
      </c>
      <c r="D74" s="156" t="s">
        <v>62</v>
      </c>
      <c r="E74" s="156" t="s">
        <v>138</v>
      </c>
      <c r="F74" s="157">
        <v>0</v>
      </c>
      <c r="G74" s="157">
        <v>90000</v>
      </c>
      <c r="H74" s="156">
        <v>9518.77</v>
      </c>
      <c r="I74" s="156">
        <v>376.22</v>
      </c>
      <c r="J74" s="156">
        <v>0</v>
      </c>
      <c r="K74" s="156">
        <v>315.89999999999998</v>
      </c>
      <c r="L74" s="156">
        <v>0</v>
      </c>
      <c r="M74" s="156">
        <v>0</v>
      </c>
      <c r="N74" s="156">
        <f t="shared" si="4"/>
        <v>315.89999999999998</v>
      </c>
      <c r="O74" s="156">
        <v>0</v>
      </c>
      <c r="P74" s="156">
        <v>0</v>
      </c>
      <c r="Q74" s="156">
        <v>0</v>
      </c>
      <c r="R74" s="156">
        <v>0</v>
      </c>
      <c r="S74" s="156">
        <v>0</v>
      </c>
      <c r="T74" s="156">
        <v>0</v>
      </c>
      <c r="U74" s="156">
        <v>0</v>
      </c>
      <c r="V74" s="156">
        <v>0</v>
      </c>
      <c r="W74" s="156">
        <v>0</v>
      </c>
      <c r="X74" s="156">
        <v>0</v>
      </c>
      <c r="Y74" s="156">
        <v>0</v>
      </c>
      <c r="Z74" s="156">
        <v>35.1</v>
      </c>
      <c r="AA74" s="156">
        <v>0</v>
      </c>
      <c r="AB74" s="156">
        <v>0</v>
      </c>
      <c r="AC74" s="156">
        <v>0</v>
      </c>
      <c r="AD74" s="156">
        <v>0</v>
      </c>
      <c r="AE74" s="156">
        <v>0</v>
      </c>
      <c r="AF74" s="156">
        <v>0</v>
      </c>
      <c r="AG74" s="156">
        <v>0</v>
      </c>
      <c r="AH74" s="156">
        <v>0</v>
      </c>
      <c r="AI74" s="156">
        <v>0</v>
      </c>
      <c r="AJ74" s="156">
        <v>0</v>
      </c>
      <c r="AK74" s="156">
        <v>0</v>
      </c>
      <c r="AL74" s="156">
        <v>199.87</v>
      </c>
      <c r="AM74" s="156">
        <v>-464.4</v>
      </c>
      <c r="AN74" s="156">
        <v>0</v>
      </c>
      <c r="AO74" s="156">
        <v>0</v>
      </c>
      <c r="AP74" s="156">
        <v>0</v>
      </c>
      <c r="AQ74" s="156">
        <v>0</v>
      </c>
      <c r="AR74" s="156">
        <v>0</v>
      </c>
      <c r="AS74" s="156">
        <v>0</v>
      </c>
      <c r="AT74" s="156">
        <f t="shared" si="5"/>
        <v>9781.59</v>
      </c>
    </row>
    <row r="75" spans="1:46" ht="11.25" hidden="1" outlineLevel="3">
      <c r="A75" s="155" t="s">
        <v>152</v>
      </c>
      <c r="B75" s="155">
        <v>0</v>
      </c>
      <c r="C75" s="155">
        <v>0</v>
      </c>
      <c r="D75" s="156" t="s">
        <v>62</v>
      </c>
      <c r="E75" s="156" t="s">
        <v>138</v>
      </c>
      <c r="F75" s="157">
        <v>0</v>
      </c>
      <c r="G75" s="157">
        <v>82272</v>
      </c>
      <c r="H75" s="156">
        <v>8699.44</v>
      </c>
      <c r="I75" s="156">
        <v>343.83</v>
      </c>
      <c r="J75" s="156">
        <v>0</v>
      </c>
      <c r="K75" s="156">
        <v>288.77999999999997</v>
      </c>
      <c r="L75" s="156">
        <v>0</v>
      </c>
      <c r="M75" s="156">
        <v>0</v>
      </c>
      <c r="N75" s="156">
        <f t="shared" si="4"/>
        <v>288.77999999999997</v>
      </c>
      <c r="O75" s="156">
        <v>0</v>
      </c>
      <c r="P75" s="156">
        <v>0</v>
      </c>
      <c r="Q75" s="156">
        <v>0</v>
      </c>
      <c r="R75" s="156">
        <v>0</v>
      </c>
      <c r="S75" s="156">
        <v>0</v>
      </c>
      <c r="T75" s="156">
        <v>0</v>
      </c>
      <c r="U75" s="156">
        <v>0</v>
      </c>
      <c r="V75" s="156">
        <v>0</v>
      </c>
      <c r="W75" s="156">
        <v>0</v>
      </c>
      <c r="X75" s="156">
        <v>0</v>
      </c>
      <c r="Y75" s="156">
        <v>0</v>
      </c>
      <c r="Z75" s="156">
        <v>32.08</v>
      </c>
      <c r="AA75" s="156">
        <v>0</v>
      </c>
      <c r="AB75" s="156">
        <v>0</v>
      </c>
      <c r="AC75" s="156">
        <v>0</v>
      </c>
      <c r="AD75" s="156">
        <v>0</v>
      </c>
      <c r="AE75" s="156">
        <v>0</v>
      </c>
      <c r="AF75" s="156">
        <v>0</v>
      </c>
      <c r="AG75" s="156">
        <v>0</v>
      </c>
      <c r="AH75" s="156">
        <v>0</v>
      </c>
      <c r="AI75" s="156">
        <v>0</v>
      </c>
      <c r="AJ75" s="156">
        <v>0</v>
      </c>
      <c r="AK75" s="156">
        <v>0</v>
      </c>
      <c r="AL75" s="156">
        <v>182.66</v>
      </c>
      <c r="AM75" s="156">
        <v>-424.52</v>
      </c>
      <c r="AN75" s="156">
        <v>0</v>
      </c>
      <c r="AO75" s="156">
        <v>0</v>
      </c>
      <c r="AP75" s="156">
        <v>0</v>
      </c>
      <c r="AQ75" s="156">
        <v>0</v>
      </c>
      <c r="AR75" s="156">
        <v>0</v>
      </c>
      <c r="AS75" s="156">
        <v>0</v>
      </c>
      <c r="AT75" s="156">
        <f t="shared" si="5"/>
        <v>8939.61</v>
      </c>
    </row>
    <row r="76" spans="1:46" ht="11.25" hidden="1" outlineLevel="3">
      <c r="A76" s="155" t="s">
        <v>152</v>
      </c>
      <c r="D76" s="156" t="s">
        <v>62</v>
      </c>
      <c r="E76" s="156" t="s">
        <v>138</v>
      </c>
      <c r="F76" s="157">
        <v>0</v>
      </c>
      <c r="G76" s="157">
        <v>-10000</v>
      </c>
      <c r="H76" s="156">
        <v>-10587.99</v>
      </c>
      <c r="I76" s="156">
        <v>-205.45</v>
      </c>
      <c r="J76" s="156">
        <v>0</v>
      </c>
      <c r="K76" s="156">
        <v>-161.43</v>
      </c>
      <c r="L76" s="156">
        <v>0</v>
      </c>
      <c r="M76" s="156">
        <v>0</v>
      </c>
      <c r="N76" s="156">
        <f t="shared" si="4"/>
        <v>-161.43</v>
      </c>
      <c r="O76" s="156">
        <v>0</v>
      </c>
      <c r="P76" s="156">
        <v>0</v>
      </c>
      <c r="Q76" s="156">
        <v>0</v>
      </c>
      <c r="R76" s="156">
        <v>0</v>
      </c>
      <c r="S76" s="156">
        <v>0</v>
      </c>
      <c r="T76" s="156">
        <v>0</v>
      </c>
      <c r="U76" s="156">
        <v>0</v>
      </c>
      <c r="V76" s="156">
        <v>0</v>
      </c>
      <c r="W76" s="156">
        <v>0</v>
      </c>
      <c r="X76" s="156">
        <v>0</v>
      </c>
      <c r="Y76" s="156">
        <v>0</v>
      </c>
      <c r="Z76" s="156">
        <v>-39</v>
      </c>
      <c r="AA76" s="156">
        <v>0</v>
      </c>
      <c r="AB76" s="156">
        <v>0</v>
      </c>
      <c r="AC76" s="156">
        <v>0</v>
      </c>
      <c r="AD76" s="156">
        <v>0</v>
      </c>
      <c r="AE76" s="156">
        <v>0</v>
      </c>
      <c r="AF76" s="156">
        <v>0</v>
      </c>
      <c r="AG76" s="156">
        <v>0</v>
      </c>
      <c r="AH76" s="156">
        <v>0</v>
      </c>
      <c r="AI76" s="156">
        <v>0</v>
      </c>
      <c r="AJ76" s="156">
        <v>0</v>
      </c>
      <c r="AK76" s="156">
        <v>0</v>
      </c>
      <c r="AL76" s="156">
        <v>-25.68</v>
      </c>
      <c r="AM76" s="156">
        <v>516</v>
      </c>
      <c r="AN76" s="156">
        <v>0</v>
      </c>
      <c r="AO76" s="156">
        <v>0</v>
      </c>
      <c r="AP76" s="156">
        <v>0</v>
      </c>
      <c r="AQ76" s="156">
        <v>0</v>
      </c>
      <c r="AR76" s="156">
        <v>0</v>
      </c>
      <c r="AS76" s="156">
        <v>0</v>
      </c>
      <c r="AT76" s="156">
        <f t="shared" si="5"/>
        <v>-10477.870000000001</v>
      </c>
    </row>
    <row r="77" spans="1:46" ht="11.25" hidden="1" outlineLevel="3">
      <c r="A77" s="155" t="s">
        <v>152</v>
      </c>
      <c r="D77" s="156" t="s">
        <v>62</v>
      </c>
      <c r="E77" s="156" t="s">
        <v>138</v>
      </c>
      <c r="F77" s="157">
        <v>0</v>
      </c>
      <c r="G77" s="157">
        <v>-99000</v>
      </c>
      <c r="H77" s="156">
        <v>-10468.26</v>
      </c>
      <c r="I77" s="156">
        <v>-397.4</v>
      </c>
      <c r="J77" s="156">
        <v>0</v>
      </c>
      <c r="K77" s="156">
        <v>60.96</v>
      </c>
      <c r="L77" s="156">
        <v>0</v>
      </c>
      <c r="M77" s="156">
        <v>0</v>
      </c>
      <c r="N77" s="156">
        <f t="shared" si="4"/>
        <v>60.96</v>
      </c>
      <c r="O77" s="156">
        <v>0</v>
      </c>
      <c r="P77" s="156">
        <v>0</v>
      </c>
      <c r="Q77" s="156">
        <v>0</v>
      </c>
      <c r="R77" s="156">
        <v>0</v>
      </c>
      <c r="S77" s="156">
        <v>0</v>
      </c>
      <c r="T77" s="156">
        <v>0</v>
      </c>
      <c r="U77" s="156">
        <v>0</v>
      </c>
      <c r="V77" s="156">
        <v>0</v>
      </c>
      <c r="W77" s="156">
        <v>0</v>
      </c>
      <c r="X77" s="156">
        <v>0</v>
      </c>
      <c r="Y77" s="156">
        <v>0</v>
      </c>
      <c r="Z77" s="156">
        <v>-38.61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56">
        <v>0</v>
      </c>
      <c r="AG77" s="156">
        <v>0</v>
      </c>
      <c r="AH77" s="156">
        <v>0</v>
      </c>
      <c r="AI77" s="156">
        <v>0</v>
      </c>
      <c r="AJ77" s="156">
        <v>0</v>
      </c>
      <c r="AK77" s="156">
        <v>0</v>
      </c>
      <c r="AL77" s="156">
        <v>-211.12</v>
      </c>
      <c r="AM77" s="156">
        <v>510.84</v>
      </c>
      <c r="AN77" s="156">
        <v>0</v>
      </c>
      <c r="AO77" s="156">
        <v>0</v>
      </c>
      <c r="AP77" s="156">
        <v>0</v>
      </c>
      <c r="AQ77" s="156">
        <v>0</v>
      </c>
      <c r="AR77" s="156">
        <v>0</v>
      </c>
      <c r="AS77" s="156">
        <v>0</v>
      </c>
      <c r="AT77" s="156">
        <f t="shared" si="5"/>
        <v>-10332.470000000001</v>
      </c>
    </row>
    <row r="78" spans="1:46" ht="11.25" hidden="1" outlineLevel="3">
      <c r="A78" s="155" t="s">
        <v>152</v>
      </c>
      <c r="D78" s="156" t="s">
        <v>62</v>
      </c>
      <c r="E78" s="156" t="s">
        <v>138</v>
      </c>
      <c r="F78" s="157">
        <v>0</v>
      </c>
      <c r="G78" s="157">
        <v>-99053</v>
      </c>
      <c r="H78" s="156">
        <v>-10480.799999999999</v>
      </c>
      <c r="I78" s="156">
        <v>-397.31</v>
      </c>
      <c r="J78" s="156">
        <v>0</v>
      </c>
      <c r="K78" s="156">
        <v>75.58</v>
      </c>
      <c r="L78" s="156">
        <v>0</v>
      </c>
      <c r="M78" s="156">
        <v>0</v>
      </c>
      <c r="N78" s="156">
        <f t="shared" si="4"/>
        <v>75.58</v>
      </c>
      <c r="O78" s="156">
        <v>0</v>
      </c>
      <c r="P78" s="156">
        <v>0</v>
      </c>
      <c r="Q78" s="156">
        <v>0</v>
      </c>
      <c r="R78" s="156">
        <v>0</v>
      </c>
      <c r="S78" s="156">
        <v>0</v>
      </c>
      <c r="T78" s="156">
        <v>0</v>
      </c>
      <c r="U78" s="156">
        <v>0</v>
      </c>
      <c r="V78" s="156">
        <v>0</v>
      </c>
      <c r="W78" s="156">
        <v>0</v>
      </c>
      <c r="X78" s="156">
        <v>0</v>
      </c>
      <c r="Y78" s="156">
        <v>0</v>
      </c>
      <c r="Z78" s="156">
        <v>-38.630000000000003</v>
      </c>
      <c r="AA78" s="156">
        <v>0</v>
      </c>
      <c r="AB78" s="156">
        <v>0</v>
      </c>
      <c r="AC78" s="156">
        <v>0</v>
      </c>
      <c r="AD78" s="156">
        <v>0</v>
      </c>
      <c r="AE78" s="156">
        <v>0</v>
      </c>
      <c r="AF78" s="156">
        <v>0</v>
      </c>
      <c r="AG78" s="156">
        <v>0</v>
      </c>
      <c r="AH78" s="156">
        <v>0</v>
      </c>
      <c r="AI78" s="156">
        <v>0</v>
      </c>
      <c r="AJ78" s="156">
        <v>0</v>
      </c>
      <c r="AK78" s="156">
        <v>0</v>
      </c>
      <c r="AL78" s="156">
        <v>-211.07999999999998</v>
      </c>
      <c r="AM78" s="156">
        <v>511.11</v>
      </c>
      <c r="AN78" s="156">
        <v>0</v>
      </c>
      <c r="AO78" s="156">
        <v>0</v>
      </c>
      <c r="AP78" s="156">
        <v>0</v>
      </c>
      <c r="AQ78" s="156">
        <v>0</v>
      </c>
      <c r="AR78" s="156">
        <v>0</v>
      </c>
      <c r="AS78" s="156">
        <v>0</v>
      </c>
      <c r="AT78" s="156">
        <f t="shared" si="5"/>
        <v>-10330.049999999997</v>
      </c>
    </row>
    <row r="79" spans="1:46" ht="11.25" hidden="1" outlineLevel="3">
      <c r="A79" s="155" t="s">
        <v>152</v>
      </c>
      <c r="D79" s="156" t="s">
        <v>62</v>
      </c>
      <c r="E79" s="156" t="s">
        <v>138</v>
      </c>
      <c r="F79" s="157">
        <v>0</v>
      </c>
      <c r="G79" s="157">
        <v>-97465</v>
      </c>
      <c r="H79" s="156">
        <v>-10419.09</v>
      </c>
      <c r="I79" s="156">
        <v>0</v>
      </c>
      <c r="J79" s="156">
        <v>0</v>
      </c>
      <c r="K79" s="156">
        <v>-345.37</v>
      </c>
      <c r="L79" s="156">
        <v>0</v>
      </c>
      <c r="M79" s="156">
        <v>0</v>
      </c>
      <c r="N79" s="156">
        <f t="shared" si="4"/>
        <v>-345.37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0</v>
      </c>
      <c r="W79" s="156">
        <v>0</v>
      </c>
      <c r="X79" s="156">
        <v>0</v>
      </c>
      <c r="Y79" s="156">
        <v>0</v>
      </c>
      <c r="Z79" s="156">
        <v>-38.369999999999997</v>
      </c>
      <c r="AA79" s="156">
        <v>0</v>
      </c>
      <c r="AB79" s="156">
        <v>0</v>
      </c>
      <c r="AC79" s="156">
        <v>0</v>
      </c>
      <c r="AD79" s="156">
        <v>0</v>
      </c>
      <c r="AE79" s="156">
        <v>0</v>
      </c>
      <c r="AF79" s="156">
        <v>0</v>
      </c>
      <c r="AG79" s="156">
        <v>0</v>
      </c>
      <c r="AH79" s="156">
        <v>0</v>
      </c>
      <c r="AI79" s="156">
        <v>0</v>
      </c>
      <c r="AJ79" s="156">
        <v>0</v>
      </c>
      <c r="AK79" s="156">
        <v>0</v>
      </c>
      <c r="AL79" s="156">
        <v>0</v>
      </c>
      <c r="AM79" s="156">
        <v>507.73</v>
      </c>
      <c r="AN79" s="156">
        <v>0</v>
      </c>
      <c r="AO79" s="156">
        <v>0</v>
      </c>
      <c r="AP79" s="156">
        <v>0</v>
      </c>
      <c r="AQ79" s="156">
        <v>0</v>
      </c>
      <c r="AR79" s="156">
        <v>0</v>
      </c>
      <c r="AS79" s="156">
        <v>0</v>
      </c>
      <c r="AT79" s="156">
        <f t="shared" si="5"/>
        <v>-10295.100000000002</v>
      </c>
    </row>
    <row r="80" spans="1:46" ht="11.25" hidden="1" outlineLevel="3">
      <c r="A80" s="155" t="s">
        <v>152</v>
      </c>
      <c r="D80" s="156" t="s">
        <v>62</v>
      </c>
      <c r="E80" s="156" t="s">
        <v>138</v>
      </c>
      <c r="F80" s="157">
        <v>0</v>
      </c>
      <c r="G80" s="157">
        <v>-98000</v>
      </c>
      <c r="H80" s="156">
        <v>-10364.129999999999</v>
      </c>
      <c r="I80" s="156">
        <v>-392.88</v>
      </c>
      <c r="J80" s="156">
        <v>0</v>
      </c>
      <c r="K80" s="156">
        <v>74.78</v>
      </c>
      <c r="L80" s="156">
        <v>0</v>
      </c>
      <c r="M80" s="156">
        <v>0</v>
      </c>
      <c r="N80" s="156">
        <f t="shared" si="4"/>
        <v>74.78</v>
      </c>
      <c r="O80" s="156">
        <v>0</v>
      </c>
      <c r="P80" s="156">
        <v>0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  <c r="Y80" s="156">
        <v>0</v>
      </c>
      <c r="Z80" s="156">
        <v>-38.22</v>
      </c>
      <c r="AA80" s="156">
        <v>0</v>
      </c>
      <c r="AB80" s="156">
        <v>0</v>
      </c>
      <c r="AC80" s="156">
        <v>0</v>
      </c>
      <c r="AD80" s="156">
        <v>0</v>
      </c>
      <c r="AE80" s="156">
        <v>0</v>
      </c>
      <c r="AF80" s="156">
        <v>0</v>
      </c>
      <c r="AG80" s="156">
        <v>0</v>
      </c>
      <c r="AH80" s="156">
        <v>0</v>
      </c>
      <c r="AI80" s="156">
        <v>0</v>
      </c>
      <c r="AJ80" s="156">
        <v>0</v>
      </c>
      <c r="AK80" s="156">
        <v>0</v>
      </c>
      <c r="AL80" s="156">
        <v>-208.72</v>
      </c>
      <c r="AM80" s="156">
        <v>505.68</v>
      </c>
      <c r="AN80" s="156">
        <v>0</v>
      </c>
      <c r="AO80" s="156">
        <v>0</v>
      </c>
      <c r="AP80" s="156">
        <v>0</v>
      </c>
      <c r="AQ80" s="156">
        <v>0</v>
      </c>
      <c r="AR80" s="156">
        <v>0</v>
      </c>
      <c r="AS80" s="156">
        <v>0</v>
      </c>
      <c r="AT80" s="156">
        <f t="shared" si="5"/>
        <v>-10214.769999999997</v>
      </c>
    </row>
    <row r="81" spans="1:46" ht="11.25" hidden="1" outlineLevel="3">
      <c r="A81" s="155" t="s">
        <v>152</v>
      </c>
      <c r="D81" s="156" t="s">
        <v>62</v>
      </c>
      <c r="E81" s="156" t="s">
        <v>138</v>
      </c>
      <c r="F81" s="157">
        <v>0</v>
      </c>
      <c r="G81" s="157">
        <v>-99891</v>
      </c>
      <c r="H81" s="156">
        <v>-10574.76</v>
      </c>
      <c r="I81" s="156">
        <v>-200.44</v>
      </c>
      <c r="J81" s="156">
        <v>0</v>
      </c>
      <c r="K81" s="156">
        <v>76.23</v>
      </c>
      <c r="L81" s="156">
        <v>0</v>
      </c>
      <c r="M81" s="156">
        <v>0</v>
      </c>
      <c r="N81" s="156">
        <f t="shared" si="4"/>
        <v>76.23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  <c r="Y81" s="156">
        <v>0</v>
      </c>
      <c r="Z81" s="156">
        <v>-38.950000000000003</v>
      </c>
      <c r="AA81" s="156">
        <v>0</v>
      </c>
      <c r="AB81" s="156">
        <v>0</v>
      </c>
      <c r="AC81" s="156">
        <v>0</v>
      </c>
      <c r="AD81" s="156">
        <v>0</v>
      </c>
      <c r="AE81" s="156">
        <v>0</v>
      </c>
      <c r="AF81" s="156">
        <v>0</v>
      </c>
      <c r="AG81" s="156">
        <v>0</v>
      </c>
      <c r="AH81" s="156">
        <v>0</v>
      </c>
      <c r="AI81" s="156">
        <v>0</v>
      </c>
      <c r="AJ81" s="156">
        <v>0</v>
      </c>
      <c r="AK81" s="156">
        <v>0</v>
      </c>
      <c r="AL81" s="156">
        <v>-100.22</v>
      </c>
      <c r="AM81" s="156">
        <v>515.44000000000005</v>
      </c>
      <c r="AN81" s="156">
        <v>0</v>
      </c>
      <c r="AO81" s="156">
        <v>0</v>
      </c>
      <c r="AP81" s="156">
        <v>0</v>
      </c>
      <c r="AQ81" s="156">
        <v>0</v>
      </c>
      <c r="AR81" s="156">
        <v>0</v>
      </c>
      <c r="AS81" s="156">
        <v>0</v>
      </c>
      <c r="AT81" s="156">
        <f t="shared" si="5"/>
        <v>-10222.480000000001</v>
      </c>
    </row>
    <row r="82" spans="1:46" ht="11.25" hidden="1" outlineLevel="3">
      <c r="A82" s="155" t="s">
        <v>152</v>
      </c>
      <c r="D82" s="156" t="s">
        <v>62</v>
      </c>
      <c r="E82" s="156" t="s">
        <v>138</v>
      </c>
      <c r="F82" s="157">
        <v>0</v>
      </c>
      <c r="G82" s="157">
        <v>-99479</v>
      </c>
      <c r="H82" s="156">
        <v>-10522.51</v>
      </c>
      <c r="I82" s="156">
        <v>-199.44</v>
      </c>
      <c r="J82" s="156">
        <v>0</v>
      </c>
      <c r="K82" s="156">
        <v>75.900000000000006</v>
      </c>
      <c r="L82" s="156">
        <v>0</v>
      </c>
      <c r="M82" s="156">
        <v>0</v>
      </c>
      <c r="N82" s="156">
        <f t="shared" si="4"/>
        <v>75.900000000000006</v>
      </c>
      <c r="O82" s="156">
        <v>0</v>
      </c>
      <c r="P82" s="156">
        <v>0</v>
      </c>
      <c r="Q82" s="156">
        <v>0</v>
      </c>
      <c r="R82" s="156">
        <v>0</v>
      </c>
      <c r="S82" s="156">
        <v>0</v>
      </c>
      <c r="T82" s="156">
        <v>0</v>
      </c>
      <c r="U82" s="156">
        <v>0</v>
      </c>
      <c r="V82" s="156">
        <v>0</v>
      </c>
      <c r="W82" s="156">
        <v>0</v>
      </c>
      <c r="X82" s="156">
        <v>0</v>
      </c>
      <c r="Y82" s="156">
        <v>0</v>
      </c>
      <c r="Z82" s="156">
        <v>-38.79</v>
      </c>
      <c r="AA82" s="156">
        <v>0</v>
      </c>
      <c r="AB82" s="156">
        <v>0</v>
      </c>
      <c r="AC82" s="156">
        <v>0</v>
      </c>
      <c r="AD82" s="156">
        <v>0</v>
      </c>
      <c r="AE82" s="156">
        <v>0</v>
      </c>
      <c r="AF82" s="156">
        <v>0</v>
      </c>
      <c r="AG82" s="156">
        <v>0</v>
      </c>
      <c r="AH82" s="156">
        <v>0</v>
      </c>
      <c r="AI82" s="156">
        <v>0</v>
      </c>
      <c r="AJ82" s="156">
        <v>0</v>
      </c>
      <c r="AK82" s="156">
        <v>0</v>
      </c>
      <c r="AL82" s="156">
        <v>-99.71</v>
      </c>
      <c r="AM82" s="156">
        <v>513.30999999999995</v>
      </c>
      <c r="AN82" s="156">
        <v>0</v>
      </c>
      <c r="AO82" s="156">
        <v>0</v>
      </c>
      <c r="AP82" s="156">
        <v>0</v>
      </c>
      <c r="AQ82" s="156">
        <v>0</v>
      </c>
      <c r="AR82" s="156">
        <v>0</v>
      </c>
      <c r="AS82" s="156">
        <v>0</v>
      </c>
      <c r="AT82" s="156">
        <f t="shared" si="5"/>
        <v>-10171.530000000002</v>
      </c>
    </row>
    <row r="83" spans="1:46" ht="11.25" hidden="1" outlineLevel="3">
      <c r="A83" s="155" t="s">
        <v>152</v>
      </c>
      <c r="D83" s="156" t="s">
        <v>62</v>
      </c>
      <c r="E83" s="156" t="s">
        <v>138</v>
      </c>
      <c r="F83" s="157">
        <v>0</v>
      </c>
      <c r="G83" s="157">
        <v>-99168</v>
      </c>
      <c r="H83" s="156">
        <v>-10486.02</v>
      </c>
      <c r="I83" s="156">
        <v>-198.75</v>
      </c>
      <c r="J83" s="156">
        <v>0</v>
      </c>
      <c r="K83" s="156">
        <v>75.67</v>
      </c>
      <c r="L83" s="156">
        <v>0</v>
      </c>
      <c r="M83" s="156">
        <v>0</v>
      </c>
      <c r="N83" s="156">
        <f t="shared" si="4"/>
        <v>75.67</v>
      </c>
      <c r="O83" s="156">
        <v>0</v>
      </c>
      <c r="P83" s="156">
        <v>0</v>
      </c>
      <c r="Q83" s="156">
        <v>0</v>
      </c>
      <c r="R83" s="156">
        <v>0</v>
      </c>
      <c r="S83" s="156">
        <v>0</v>
      </c>
      <c r="T83" s="156">
        <v>0</v>
      </c>
      <c r="U83" s="156">
        <v>0</v>
      </c>
      <c r="V83" s="156">
        <v>0</v>
      </c>
      <c r="W83" s="156">
        <v>0</v>
      </c>
      <c r="X83" s="156">
        <v>0</v>
      </c>
      <c r="Y83" s="156">
        <v>0</v>
      </c>
      <c r="Z83" s="156">
        <v>-38.68</v>
      </c>
      <c r="AA83" s="156">
        <v>0</v>
      </c>
      <c r="AB83" s="156">
        <v>0</v>
      </c>
      <c r="AC83" s="156">
        <v>0</v>
      </c>
      <c r="AD83" s="156">
        <v>0</v>
      </c>
      <c r="AE83" s="156">
        <v>0</v>
      </c>
      <c r="AF83" s="156">
        <v>0</v>
      </c>
      <c r="AG83" s="156">
        <v>0</v>
      </c>
      <c r="AH83" s="156">
        <v>0</v>
      </c>
      <c r="AI83" s="156">
        <v>0</v>
      </c>
      <c r="AJ83" s="156">
        <v>0</v>
      </c>
      <c r="AK83" s="156">
        <v>0</v>
      </c>
      <c r="AL83" s="156">
        <v>-99.39</v>
      </c>
      <c r="AM83" s="156">
        <v>511.71</v>
      </c>
      <c r="AN83" s="156">
        <v>0</v>
      </c>
      <c r="AO83" s="156">
        <v>0</v>
      </c>
      <c r="AP83" s="156">
        <v>0</v>
      </c>
      <c r="AQ83" s="156">
        <v>0</v>
      </c>
      <c r="AR83" s="156">
        <v>0</v>
      </c>
      <c r="AS83" s="156">
        <v>0</v>
      </c>
      <c r="AT83" s="156">
        <f t="shared" si="5"/>
        <v>-10136.070000000002</v>
      </c>
    </row>
    <row r="84" spans="1:46" ht="11.25" hidden="1" outlineLevel="3">
      <c r="A84" s="155" t="s">
        <v>152</v>
      </c>
      <c r="D84" s="156" t="s">
        <v>62</v>
      </c>
      <c r="E84" s="156" t="s">
        <v>138</v>
      </c>
      <c r="F84" s="157">
        <v>0</v>
      </c>
      <c r="G84" s="157">
        <v>-99768</v>
      </c>
      <c r="H84" s="156">
        <v>-10562.44</v>
      </c>
      <c r="I84" s="156">
        <v>-200.21</v>
      </c>
      <c r="J84" s="156">
        <v>0</v>
      </c>
      <c r="K84" s="156">
        <v>76.11</v>
      </c>
      <c r="L84" s="156">
        <v>0</v>
      </c>
      <c r="M84" s="156">
        <v>0</v>
      </c>
      <c r="N84" s="156">
        <f t="shared" si="4"/>
        <v>76.11</v>
      </c>
      <c r="O84" s="156">
        <v>0</v>
      </c>
      <c r="P84" s="156">
        <v>0</v>
      </c>
      <c r="Q84" s="156">
        <v>0</v>
      </c>
      <c r="R84" s="156">
        <v>0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  <c r="Y84" s="156">
        <v>0</v>
      </c>
      <c r="Z84" s="156">
        <v>-38.909999999999997</v>
      </c>
      <c r="AA84" s="156">
        <v>0</v>
      </c>
      <c r="AB84" s="156">
        <v>0</v>
      </c>
      <c r="AC84" s="156">
        <v>0</v>
      </c>
      <c r="AD84" s="156">
        <v>0</v>
      </c>
      <c r="AE84" s="156">
        <v>0</v>
      </c>
      <c r="AF84" s="156">
        <v>0</v>
      </c>
      <c r="AG84" s="156">
        <v>0</v>
      </c>
      <c r="AH84" s="156">
        <v>0</v>
      </c>
      <c r="AI84" s="156">
        <v>0</v>
      </c>
      <c r="AJ84" s="156">
        <v>0</v>
      </c>
      <c r="AK84" s="156">
        <v>0</v>
      </c>
      <c r="AL84" s="156">
        <v>-25.03</v>
      </c>
      <c r="AM84" s="156">
        <v>514.79999999999995</v>
      </c>
      <c r="AN84" s="156">
        <v>0</v>
      </c>
      <c r="AO84" s="156">
        <v>0</v>
      </c>
      <c r="AP84" s="156">
        <v>0</v>
      </c>
      <c r="AQ84" s="156">
        <v>0</v>
      </c>
      <c r="AR84" s="156">
        <v>0</v>
      </c>
      <c r="AS84" s="156">
        <v>0</v>
      </c>
      <c r="AT84" s="156">
        <f t="shared" si="5"/>
        <v>-10210.65</v>
      </c>
    </row>
    <row r="85" spans="1:46" ht="11.25" hidden="1" outlineLevel="3">
      <c r="A85" s="155" t="s">
        <v>152</v>
      </c>
      <c r="D85" s="156" t="s">
        <v>62</v>
      </c>
      <c r="E85" s="156" t="s">
        <v>138</v>
      </c>
      <c r="F85" s="157">
        <v>0</v>
      </c>
      <c r="G85" s="157">
        <v>-98915</v>
      </c>
      <c r="H85" s="156">
        <v>-10459.280000000001</v>
      </c>
      <c r="I85" s="156">
        <v>-198.24</v>
      </c>
      <c r="J85" s="156">
        <v>0</v>
      </c>
      <c r="K85" s="156">
        <v>75.48</v>
      </c>
      <c r="L85" s="156">
        <v>0</v>
      </c>
      <c r="M85" s="156">
        <v>0</v>
      </c>
      <c r="N85" s="156">
        <f t="shared" si="4"/>
        <v>75.48</v>
      </c>
      <c r="O85" s="156">
        <v>0</v>
      </c>
      <c r="P85" s="156">
        <v>0</v>
      </c>
      <c r="Q85" s="156">
        <v>0</v>
      </c>
      <c r="R85" s="156">
        <v>0</v>
      </c>
      <c r="S85" s="156">
        <v>0</v>
      </c>
      <c r="T85" s="156">
        <v>0</v>
      </c>
      <c r="U85" s="156">
        <v>0</v>
      </c>
      <c r="V85" s="156">
        <v>0</v>
      </c>
      <c r="W85" s="156">
        <v>0</v>
      </c>
      <c r="X85" s="156">
        <v>0</v>
      </c>
      <c r="Y85" s="156">
        <v>0</v>
      </c>
      <c r="Z85" s="156">
        <v>-38.57</v>
      </c>
      <c r="AA85" s="156">
        <v>0</v>
      </c>
      <c r="AB85" s="156">
        <v>0</v>
      </c>
      <c r="AC85" s="156">
        <v>0</v>
      </c>
      <c r="AD85" s="156">
        <v>0</v>
      </c>
      <c r="AE85" s="156">
        <v>0</v>
      </c>
      <c r="AF85" s="156">
        <v>0</v>
      </c>
      <c r="AG85" s="156">
        <v>0</v>
      </c>
      <c r="AH85" s="156">
        <v>0</v>
      </c>
      <c r="AI85" s="156">
        <v>0</v>
      </c>
      <c r="AJ85" s="156">
        <v>0</v>
      </c>
      <c r="AK85" s="156">
        <v>0</v>
      </c>
      <c r="AL85" s="156">
        <v>-99.12</v>
      </c>
      <c r="AM85" s="156">
        <v>510.4</v>
      </c>
      <c r="AN85" s="156">
        <v>0</v>
      </c>
      <c r="AO85" s="156">
        <v>0</v>
      </c>
      <c r="AP85" s="156">
        <v>0</v>
      </c>
      <c r="AQ85" s="156">
        <v>0</v>
      </c>
      <c r="AR85" s="156">
        <v>0</v>
      </c>
      <c r="AS85" s="156">
        <v>0</v>
      </c>
      <c r="AT85" s="156">
        <f t="shared" si="5"/>
        <v>-10110.210000000001</v>
      </c>
    </row>
    <row r="86" spans="1:46" ht="11.25" hidden="1" outlineLevel="3">
      <c r="A86" s="155" t="s">
        <v>152</v>
      </c>
      <c r="D86" s="156" t="s">
        <v>62</v>
      </c>
      <c r="E86" s="156" t="s">
        <v>138</v>
      </c>
      <c r="F86" s="157">
        <v>0</v>
      </c>
      <c r="G86" s="157">
        <v>-98084</v>
      </c>
      <c r="H86" s="156">
        <v>-10371.4</v>
      </c>
      <c r="I86" s="156">
        <v>-196.82</v>
      </c>
      <c r="J86" s="156">
        <v>0</v>
      </c>
      <c r="K86" s="156">
        <v>62.41</v>
      </c>
      <c r="L86" s="156">
        <v>0</v>
      </c>
      <c r="M86" s="156">
        <v>0</v>
      </c>
      <c r="N86" s="156">
        <f t="shared" si="4"/>
        <v>62.41</v>
      </c>
      <c r="O86" s="156">
        <v>0</v>
      </c>
      <c r="P86" s="156">
        <v>0</v>
      </c>
      <c r="Q86" s="156">
        <v>0</v>
      </c>
      <c r="R86" s="156">
        <v>0</v>
      </c>
      <c r="S86" s="156">
        <v>0</v>
      </c>
      <c r="T86" s="156">
        <v>0</v>
      </c>
      <c r="U86" s="156">
        <v>0</v>
      </c>
      <c r="V86" s="156">
        <v>0</v>
      </c>
      <c r="W86" s="156">
        <v>0</v>
      </c>
      <c r="X86" s="156">
        <v>0</v>
      </c>
      <c r="Y86" s="156">
        <v>0</v>
      </c>
      <c r="Z86" s="156">
        <v>-38.25</v>
      </c>
      <c r="AA86" s="156">
        <v>0</v>
      </c>
      <c r="AB86" s="156">
        <v>0</v>
      </c>
      <c r="AC86" s="156">
        <v>0</v>
      </c>
      <c r="AD86" s="156">
        <v>0</v>
      </c>
      <c r="AE86" s="156">
        <v>0</v>
      </c>
      <c r="AF86" s="156">
        <v>0</v>
      </c>
      <c r="AG86" s="156">
        <v>0</v>
      </c>
      <c r="AH86" s="156">
        <v>0</v>
      </c>
      <c r="AI86" s="156">
        <v>0</v>
      </c>
      <c r="AJ86" s="156">
        <v>0</v>
      </c>
      <c r="AK86" s="156">
        <v>0</v>
      </c>
      <c r="AL86" s="156">
        <v>-110.72</v>
      </c>
      <c r="AM86" s="156">
        <v>506.11</v>
      </c>
      <c r="AN86" s="156">
        <v>0</v>
      </c>
      <c r="AO86" s="156">
        <v>0</v>
      </c>
      <c r="AP86" s="156">
        <v>0</v>
      </c>
      <c r="AQ86" s="156">
        <v>0</v>
      </c>
      <c r="AR86" s="156">
        <v>0</v>
      </c>
      <c r="AS86" s="156">
        <v>0</v>
      </c>
      <c r="AT86" s="156">
        <f t="shared" si="5"/>
        <v>-10037.949999999999</v>
      </c>
    </row>
    <row r="87" spans="1:46" ht="11.25" hidden="1" outlineLevel="3">
      <c r="A87" s="155" t="s">
        <v>152</v>
      </c>
      <c r="D87" s="156" t="s">
        <v>62</v>
      </c>
      <c r="E87" s="156" t="s">
        <v>138</v>
      </c>
      <c r="F87" s="157">
        <v>0</v>
      </c>
      <c r="G87" s="157">
        <v>-98925</v>
      </c>
      <c r="H87" s="156">
        <v>-10463.879999999999</v>
      </c>
      <c r="I87" s="156">
        <v>-198.33</v>
      </c>
      <c r="J87" s="156">
        <v>0</v>
      </c>
      <c r="K87" s="156">
        <v>75.48</v>
      </c>
      <c r="L87" s="156">
        <v>0</v>
      </c>
      <c r="M87" s="156">
        <v>0</v>
      </c>
      <c r="N87" s="156">
        <f t="shared" si="4"/>
        <v>75.48</v>
      </c>
      <c r="O87" s="156">
        <v>0</v>
      </c>
      <c r="P87" s="156">
        <v>0</v>
      </c>
      <c r="Q87" s="156">
        <v>0</v>
      </c>
      <c r="R87" s="156">
        <v>0</v>
      </c>
      <c r="S87" s="156">
        <v>0</v>
      </c>
      <c r="T87" s="156">
        <v>0</v>
      </c>
      <c r="U87" s="156">
        <v>0</v>
      </c>
      <c r="V87" s="156">
        <v>0</v>
      </c>
      <c r="W87" s="156">
        <v>0</v>
      </c>
      <c r="X87" s="156">
        <v>0</v>
      </c>
      <c r="Y87" s="156">
        <v>0</v>
      </c>
      <c r="Z87" s="156">
        <v>-38.58</v>
      </c>
      <c r="AA87" s="156">
        <v>0</v>
      </c>
      <c r="AB87" s="156">
        <v>0</v>
      </c>
      <c r="AC87" s="156">
        <v>0</v>
      </c>
      <c r="AD87" s="156">
        <v>0</v>
      </c>
      <c r="AE87" s="156">
        <v>0</v>
      </c>
      <c r="AF87" s="156">
        <v>0</v>
      </c>
      <c r="AG87" s="156">
        <v>0</v>
      </c>
      <c r="AH87" s="156">
        <v>0</v>
      </c>
      <c r="AI87" s="156">
        <v>0</v>
      </c>
      <c r="AJ87" s="156">
        <v>0</v>
      </c>
      <c r="AK87" s="156">
        <v>0</v>
      </c>
      <c r="AL87" s="156">
        <v>-99.16</v>
      </c>
      <c r="AM87" s="156">
        <v>510.46</v>
      </c>
      <c r="AN87" s="156">
        <v>0</v>
      </c>
      <c r="AO87" s="156">
        <v>0</v>
      </c>
      <c r="AP87" s="156">
        <v>0</v>
      </c>
      <c r="AQ87" s="156">
        <v>0</v>
      </c>
      <c r="AR87" s="156">
        <v>0</v>
      </c>
      <c r="AS87" s="156">
        <v>0</v>
      </c>
      <c r="AT87" s="156">
        <f t="shared" si="5"/>
        <v>-10114.85</v>
      </c>
    </row>
    <row r="88" spans="1:46" ht="11.25" hidden="1" outlineLevel="3">
      <c r="A88" s="155" t="s">
        <v>152</v>
      </c>
      <c r="D88" s="156" t="s">
        <v>62</v>
      </c>
      <c r="E88" s="156" t="s">
        <v>138</v>
      </c>
      <c r="F88" s="157">
        <v>0</v>
      </c>
      <c r="G88" s="157">
        <v>-99000</v>
      </c>
      <c r="H88" s="156">
        <v>-10468.26</v>
      </c>
      <c r="I88" s="156">
        <v>-73.290000000000006</v>
      </c>
      <c r="J88" s="156">
        <v>0</v>
      </c>
      <c r="K88" s="156">
        <v>60.96</v>
      </c>
      <c r="L88" s="156">
        <v>0</v>
      </c>
      <c r="M88" s="156">
        <v>0</v>
      </c>
      <c r="N88" s="156">
        <f t="shared" si="4"/>
        <v>60.96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>
        <v>0</v>
      </c>
      <c r="U88" s="156">
        <v>0</v>
      </c>
      <c r="V88" s="156">
        <v>0</v>
      </c>
      <c r="W88" s="156">
        <v>0</v>
      </c>
      <c r="X88" s="156">
        <v>0</v>
      </c>
      <c r="Y88" s="156">
        <v>0</v>
      </c>
      <c r="Z88" s="156">
        <v>-38.61</v>
      </c>
      <c r="AA88" s="156">
        <v>0</v>
      </c>
      <c r="AB88" s="156">
        <v>0</v>
      </c>
      <c r="AC88" s="156">
        <v>0</v>
      </c>
      <c r="AD88" s="156">
        <v>0</v>
      </c>
      <c r="AE88" s="156">
        <v>0</v>
      </c>
      <c r="AF88" s="156">
        <v>0</v>
      </c>
      <c r="AG88" s="156">
        <v>0</v>
      </c>
      <c r="AH88" s="156">
        <v>0</v>
      </c>
      <c r="AI88" s="156">
        <v>0</v>
      </c>
      <c r="AJ88" s="156">
        <v>0</v>
      </c>
      <c r="AK88" s="156">
        <v>0</v>
      </c>
      <c r="AL88" s="156">
        <v>0</v>
      </c>
      <c r="AM88" s="156">
        <v>510.84</v>
      </c>
      <c r="AN88" s="156">
        <v>0</v>
      </c>
      <c r="AO88" s="156">
        <v>0</v>
      </c>
      <c r="AP88" s="156">
        <v>0</v>
      </c>
      <c r="AQ88" s="156">
        <v>0</v>
      </c>
      <c r="AR88" s="156">
        <v>0</v>
      </c>
      <c r="AS88" s="156">
        <v>0</v>
      </c>
      <c r="AT88" s="156">
        <f t="shared" si="5"/>
        <v>-10008.360000000002</v>
      </c>
    </row>
    <row r="89" spans="1:46" ht="11.25" hidden="1" outlineLevel="3">
      <c r="A89" s="155" t="s">
        <v>152</v>
      </c>
      <c r="D89" s="156" t="s">
        <v>62</v>
      </c>
      <c r="E89" s="156" t="s">
        <v>138</v>
      </c>
      <c r="F89" s="157">
        <v>0</v>
      </c>
      <c r="G89" s="157">
        <v>-97763</v>
      </c>
      <c r="H89" s="156">
        <v>-10337.459999999999</v>
      </c>
      <c r="I89" s="156">
        <v>-196.18</v>
      </c>
      <c r="J89" s="156">
        <v>0</v>
      </c>
      <c r="K89" s="156">
        <v>62.2</v>
      </c>
      <c r="L89" s="156">
        <v>0</v>
      </c>
      <c r="M89" s="156">
        <v>0</v>
      </c>
      <c r="N89" s="156">
        <f t="shared" ref="N89:N123" si="6">J89+K89+L89+M89</f>
        <v>62.2</v>
      </c>
      <c r="O89" s="156">
        <v>0</v>
      </c>
      <c r="P89" s="156">
        <v>0</v>
      </c>
      <c r="Q89" s="156">
        <v>0</v>
      </c>
      <c r="R89" s="156">
        <v>0</v>
      </c>
      <c r="S89" s="156">
        <v>0</v>
      </c>
      <c r="T89" s="156">
        <v>0</v>
      </c>
      <c r="U89" s="156">
        <v>0</v>
      </c>
      <c r="V89" s="156">
        <v>0</v>
      </c>
      <c r="W89" s="156">
        <v>0</v>
      </c>
      <c r="X89" s="156">
        <v>0</v>
      </c>
      <c r="Y89" s="156">
        <v>0</v>
      </c>
      <c r="Z89" s="156">
        <v>-38.130000000000003</v>
      </c>
      <c r="AA89" s="156">
        <v>0</v>
      </c>
      <c r="AB89" s="156">
        <v>0</v>
      </c>
      <c r="AC89" s="156">
        <v>0</v>
      </c>
      <c r="AD89" s="156">
        <v>0</v>
      </c>
      <c r="AE89" s="156">
        <v>0</v>
      </c>
      <c r="AF89" s="156">
        <v>0</v>
      </c>
      <c r="AG89" s="156">
        <v>0</v>
      </c>
      <c r="AH89" s="156">
        <v>0</v>
      </c>
      <c r="AI89" s="156">
        <v>0</v>
      </c>
      <c r="AJ89" s="156">
        <v>0</v>
      </c>
      <c r="AK89" s="156">
        <v>0</v>
      </c>
      <c r="AL89" s="156">
        <v>-110.35</v>
      </c>
      <c r="AM89" s="156">
        <v>504.46</v>
      </c>
      <c r="AN89" s="156">
        <v>0</v>
      </c>
      <c r="AO89" s="156">
        <v>0</v>
      </c>
      <c r="AP89" s="156">
        <v>0</v>
      </c>
      <c r="AQ89" s="156">
        <v>0</v>
      </c>
      <c r="AR89" s="156">
        <v>0</v>
      </c>
      <c r="AS89" s="156">
        <v>0</v>
      </c>
      <c r="AT89" s="156">
        <f t="shared" ref="AT89:AT123" si="7">H89+I89+N89+O89+P89+Q89+T89+X89+Y89+Z89+AA89+AB89+AM89+AO89</f>
        <v>-10005.109999999999</v>
      </c>
    </row>
    <row r="90" spans="1:46" ht="11.25" hidden="1" outlineLevel="3">
      <c r="A90" s="155" t="s">
        <v>152</v>
      </c>
      <c r="D90" s="156" t="s">
        <v>62</v>
      </c>
      <c r="E90" s="156" t="s">
        <v>138</v>
      </c>
      <c r="F90" s="157">
        <v>0</v>
      </c>
      <c r="G90" s="157">
        <v>-97455</v>
      </c>
      <c r="H90" s="156">
        <v>-10304.89</v>
      </c>
      <c r="I90" s="156">
        <v>0</v>
      </c>
      <c r="J90" s="156">
        <v>0</v>
      </c>
      <c r="K90" s="156">
        <v>-163.02000000000001</v>
      </c>
      <c r="L90" s="156">
        <v>0</v>
      </c>
      <c r="M90" s="156">
        <v>0</v>
      </c>
      <c r="N90" s="156">
        <f t="shared" si="6"/>
        <v>-163.02000000000001</v>
      </c>
      <c r="O90" s="156">
        <v>0</v>
      </c>
      <c r="P90" s="156">
        <v>0</v>
      </c>
      <c r="Q90" s="156">
        <v>0</v>
      </c>
      <c r="R90" s="156">
        <v>0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  <c r="Y90" s="156">
        <v>0</v>
      </c>
      <c r="Z90" s="156">
        <v>-38.01</v>
      </c>
      <c r="AA90" s="156">
        <v>0</v>
      </c>
      <c r="AB90" s="156">
        <v>0</v>
      </c>
      <c r="AC90" s="156">
        <v>0</v>
      </c>
      <c r="AD90" s="156">
        <v>0</v>
      </c>
      <c r="AE90" s="156">
        <v>0</v>
      </c>
      <c r="AF90" s="156">
        <v>0</v>
      </c>
      <c r="AG90" s="156">
        <v>0</v>
      </c>
      <c r="AH90" s="156">
        <v>0</v>
      </c>
      <c r="AI90" s="156">
        <v>0</v>
      </c>
      <c r="AJ90" s="156">
        <v>0</v>
      </c>
      <c r="AK90" s="156">
        <v>0</v>
      </c>
      <c r="AL90" s="156">
        <v>0</v>
      </c>
      <c r="AM90" s="156">
        <v>502.87</v>
      </c>
      <c r="AN90" s="156">
        <v>0</v>
      </c>
      <c r="AO90" s="156">
        <v>0</v>
      </c>
      <c r="AP90" s="156">
        <v>0</v>
      </c>
      <c r="AQ90" s="156">
        <v>0</v>
      </c>
      <c r="AR90" s="156">
        <v>0</v>
      </c>
      <c r="AS90" s="156">
        <v>0</v>
      </c>
      <c r="AT90" s="156">
        <f t="shared" si="7"/>
        <v>-10003.049999999999</v>
      </c>
    </row>
    <row r="91" spans="1:46" ht="11.25" hidden="1" outlineLevel="3">
      <c r="A91" s="155" t="s">
        <v>152</v>
      </c>
      <c r="D91" s="156" t="s">
        <v>62</v>
      </c>
      <c r="E91" s="156" t="s">
        <v>138</v>
      </c>
      <c r="F91" s="157">
        <v>0</v>
      </c>
      <c r="G91" s="157">
        <v>-98163</v>
      </c>
      <c r="H91" s="156">
        <v>-10390.99</v>
      </c>
      <c r="I91" s="156">
        <v>-197.21</v>
      </c>
      <c r="J91" s="156">
        <v>0</v>
      </c>
      <c r="K91" s="156">
        <v>62.46</v>
      </c>
      <c r="L91" s="156">
        <v>0</v>
      </c>
      <c r="M91" s="156">
        <v>0</v>
      </c>
      <c r="N91" s="156">
        <f t="shared" si="6"/>
        <v>62.46</v>
      </c>
      <c r="O91" s="156">
        <v>0</v>
      </c>
      <c r="P91" s="156">
        <v>0</v>
      </c>
      <c r="Q91" s="156">
        <v>0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  <c r="Y91" s="156">
        <v>0</v>
      </c>
      <c r="Z91" s="156">
        <v>-38.29</v>
      </c>
      <c r="AA91" s="156">
        <v>0</v>
      </c>
      <c r="AB91" s="156">
        <v>0</v>
      </c>
      <c r="AC91" s="156">
        <v>0</v>
      </c>
      <c r="AD91" s="156">
        <v>0</v>
      </c>
      <c r="AE91" s="156">
        <v>0</v>
      </c>
      <c r="AF91" s="156">
        <v>0</v>
      </c>
      <c r="AG91" s="156">
        <v>0</v>
      </c>
      <c r="AH91" s="156">
        <v>0</v>
      </c>
      <c r="AI91" s="156">
        <v>0</v>
      </c>
      <c r="AJ91" s="156">
        <v>0</v>
      </c>
      <c r="AK91" s="156">
        <v>0</v>
      </c>
      <c r="AL91" s="156">
        <v>-110.93</v>
      </c>
      <c r="AM91" s="156">
        <v>506.52</v>
      </c>
      <c r="AN91" s="156">
        <v>0</v>
      </c>
      <c r="AO91" s="156">
        <v>0</v>
      </c>
      <c r="AP91" s="156">
        <v>0</v>
      </c>
      <c r="AQ91" s="156">
        <v>0</v>
      </c>
      <c r="AR91" s="156">
        <v>0</v>
      </c>
      <c r="AS91" s="156">
        <v>0</v>
      </c>
      <c r="AT91" s="156">
        <f t="shared" si="7"/>
        <v>-10057.51</v>
      </c>
    </row>
    <row r="92" spans="1:46" ht="11.25" hidden="1" outlineLevel="3">
      <c r="A92" s="155" t="s">
        <v>152</v>
      </c>
      <c r="D92" s="156" t="s">
        <v>62</v>
      </c>
      <c r="E92" s="156" t="s">
        <v>138</v>
      </c>
      <c r="F92" s="157">
        <v>0</v>
      </c>
      <c r="G92" s="157">
        <v>-98929</v>
      </c>
      <c r="H92" s="156">
        <v>-10472.549999999999</v>
      </c>
      <c r="I92" s="156">
        <v>0</v>
      </c>
      <c r="J92" s="156">
        <v>0</v>
      </c>
      <c r="K92" s="156">
        <v>-59.47</v>
      </c>
      <c r="L92" s="156">
        <v>0</v>
      </c>
      <c r="M92" s="156">
        <v>0</v>
      </c>
      <c r="N92" s="156">
        <f t="shared" si="6"/>
        <v>-59.47</v>
      </c>
      <c r="O92" s="156">
        <v>0</v>
      </c>
      <c r="P92" s="156">
        <v>0</v>
      </c>
      <c r="Q92" s="156">
        <v>0</v>
      </c>
      <c r="R92" s="156">
        <v>0</v>
      </c>
      <c r="S92" s="156">
        <v>0</v>
      </c>
      <c r="T92" s="156">
        <v>0</v>
      </c>
      <c r="U92" s="156">
        <v>0</v>
      </c>
      <c r="V92" s="156">
        <v>0</v>
      </c>
      <c r="W92" s="156">
        <v>0</v>
      </c>
      <c r="X92" s="156">
        <v>0</v>
      </c>
      <c r="Y92" s="156">
        <v>0</v>
      </c>
      <c r="Z92" s="156">
        <v>-38.590000000000003</v>
      </c>
      <c r="AA92" s="156">
        <v>0</v>
      </c>
      <c r="AB92" s="156">
        <v>0</v>
      </c>
      <c r="AC92" s="156">
        <v>0</v>
      </c>
      <c r="AD92" s="156">
        <v>0</v>
      </c>
      <c r="AE92" s="156">
        <v>0</v>
      </c>
      <c r="AF92" s="156">
        <v>0</v>
      </c>
      <c r="AG92" s="156">
        <v>0</v>
      </c>
      <c r="AH92" s="156">
        <v>0</v>
      </c>
      <c r="AI92" s="156">
        <v>0</v>
      </c>
      <c r="AJ92" s="156">
        <v>0</v>
      </c>
      <c r="AK92" s="156">
        <v>0</v>
      </c>
      <c r="AL92" s="156">
        <v>-113.17</v>
      </c>
      <c r="AM92" s="156">
        <v>510.48</v>
      </c>
      <c r="AN92" s="156">
        <v>0</v>
      </c>
      <c r="AO92" s="156">
        <v>0</v>
      </c>
      <c r="AP92" s="156">
        <v>0</v>
      </c>
      <c r="AQ92" s="156">
        <v>0</v>
      </c>
      <c r="AR92" s="156">
        <v>0</v>
      </c>
      <c r="AS92" s="156">
        <v>0</v>
      </c>
      <c r="AT92" s="156">
        <f t="shared" si="7"/>
        <v>-10060.129999999999</v>
      </c>
    </row>
    <row r="93" spans="1:46" ht="11.25" hidden="1" outlineLevel="3">
      <c r="A93" s="155" t="s">
        <v>152</v>
      </c>
      <c r="D93" s="156" t="s">
        <v>62</v>
      </c>
      <c r="E93" s="156" t="s">
        <v>138</v>
      </c>
      <c r="F93" s="157">
        <v>0</v>
      </c>
      <c r="G93" s="157">
        <v>-97989</v>
      </c>
      <c r="H93" s="156">
        <v>-10361.36</v>
      </c>
      <c r="I93" s="156">
        <v>-70.239999999999995</v>
      </c>
      <c r="J93" s="156">
        <v>0</v>
      </c>
      <c r="K93" s="156">
        <v>65.14</v>
      </c>
      <c r="L93" s="156">
        <v>0</v>
      </c>
      <c r="M93" s="156">
        <v>0</v>
      </c>
      <c r="N93" s="156">
        <f t="shared" si="6"/>
        <v>65.14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  <c r="Y93" s="156">
        <v>0</v>
      </c>
      <c r="Z93" s="156">
        <v>-38.21</v>
      </c>
      <c r="AA93" s="156">
        <v>0</v>
      </c>
      <c r="AB93" s="156">
        <v>0</v>
      </c>
      <c r="AC93" s="156">
        <v>0</v>
      </c>
      <c r="AD93" s="156">
        <v>0</v>
      </c>
      <c r="AE93" s="156">
        <v>0</v>
      </c>
      <c r="AF93" s="156">
        <v>0</v>
      </c>
      <c r="AG93" s="156">
        <v>0</v>
      </c>
      <c r="AH93" s="156">
        <v>0</v>
      </c>
      <c r="AI93" s="156">
        <v>0</v>
      </c>
      <c r="AJ93" s="156">
        <v>0</v>
      </c>
      <c r="AK93" s="156">
        <v>0</v>
      </c>
      <c r="AL93" s="156">
        <v>-110.58</v>
      </c>
      <c r="AM93" s="156">
        <v>505.62</v>
      </c>
      <c r="AN93" s="156">
        <v>0</v>
      </c>
      <c r="AO93" s="156">
        <v>0</v>
      </c>
      <c r="AP93" s="156">
        <v>0</v>
      </c>
      <c r="AQ93" s="156">
        <v>0</v>
      </c>
      <c r="AR93" s="156">
        <v>0</v>
      </c>
      <c r="AS93" s="156">
        <v>0</v>
      </c>
      <c r="AT93" s="156">
        <f t="shared" si="7"/>
        <v>-9899.0499999999993</v>
      </c>
    </row>
    <row r="94" spans="1:46" ht="11.25" hidden="1" outlineLevel="3">
      <c r="A94" s="155" t="s">
        <v>152</v>
      </c>
      <c r="D94" s="156" t="s">
        <v>62</v>
      </c>
      <c r="E94" s="156" t="s">
        <v>138</v>
      </c>
      <c r="F94" s="157">
        <v>0</v>
      </c>
      <c r="G94" s="157">
        <v>-96708</v>
      </c>
      <c r="H94" s="156">
        <v>-10225.9</v>
      </c>
      <c r="I94" s="156">
        <v>-193.82</v>
      </c>
      <c r="J94" s="156">
        <v>0</v>
      </c>
      <c r="K94" s="156">
        <v>73.8</v>
      </c>
      <c r="L94" s="156">
        <v>0</v>
      </c>
      <c r="M94" s="156">
        <v>0</v>
      </c>
      <c r="N94" s="156">
        <f t="shared" si="6"/>
        <v>73.8</v>
      </c>
      <c r="O94" s="156">
        <v>0</v>
      </c>
      <c r="P94" s="156">
        <v>0</v>
      </c>
      <c r="Q94" s="156">
        <v>0</v>
      </c>
      <c r="R94" s="156">
        <v>0</v>
      </c>
      <c r="S94" s="156">
        <v>0</v>
      </c>
      <c r="T94" s="156">
        <v>0</v>
      </c>
      <c r="U94" s="156">
        <v>0</v>
      </c>
      <c r="V94" s="156">
        <v>0</v>
      </c>
      <c r="W94" s="156">
        <v>0</v>
      </c>
      <c r="X94" s="156">
        <v>0</v>
      </c>
      <c r="Y94" s="156">
        <v>0</v>
      </c>
      <c r="Z94" s="156">
        <v>-37.72</v>
      </c>
      <c r="AA94" s="156">
        <v>0</v>
      </c>
      <c r="AB94" s="156">
        <v>0</v>
      </c>
      <c r="AC94" s="156">
        <v>0</v>
      </c>
      <c r="AD94" s="156">
        <v>0</v>
      </c>
      <c r="AE94" s="156">
        <v>0</v>
      </c>
      <c r="AF94" s="156">
        <v>0</v>
      </c>
      <c r="AG94" s="156">
        <v>0</v>
      </c>
      <c r="AH94" s="156">
        <v>0</v>
      </c>
      <c r="AI94" s="156">
        <v>0</v>
      </c>
      <c r="AJ94" s="156">
        <v>0</v>
      </c>
      <c r="AK94" s="156">
        <v>0</v>
      </c>
      <c r="AL94" s="156">
        <v>-96.9</v>
      </c>
      <c r="AM94" s="156">
        <v>499.01</v>
      </c>
      <c r="AN94" s="156">
        <v>0</v>
      </c>
      <c r="AO94" s="156">
        <v>0</v>
      </c>
      <c r="AP94" s="156">
        <v>0</v>
      </c>
      <c r="AQ94" s="156">
        <v>0</v>
      </c>
      <c r="AR94" s="156">
        <v>0</v>
      </c>
      <c r="AS94" s="156">
        <v>0</v>
      </c>
      <c r="AT94" s="156">
        <f t="shared" si="7"/>
        <v>-9884.6299999999992</v>
      </c>
    </row>
    <row r="95" spans="1:46" ht="11.25" hidden="1" outlineLevel="3">
      <c r="A95" s="155" t="s">
        <v>152</v>
      </c>
      <c r="D95" s="156" t="s">
        <v>62</v>
      </c>
      <c r="E95" s="156" t="s">
        <v>138</v>
      </c>
      <c r="F95" s="157">
        <v>0</v>
      </c>
      <c r="G95" s="157">
        <v>-99380</v>
      </c>
      <c r="H95" s="156">
        <v>-10508.44</v>
      </c>
      <c r="I95" s="156">
        <v>0</v>
      </c>
      <c r="J95" s="156">
        <v>0</v>
      </c>
      <c r="K95" s="156">
        <v>63.24</v>
      </c>
      <c r="L95" s="156">
        <v>0</v>
      </c>
      <c r="M95" s="156">
        <v>0</v>
      </c>
      <c r="N95" s="156">
        <f t="shared" si="6"/>
        <v>63.24</v>
      </c>
      <c r="O95" s="156">
        <v>0</v>
      </c>
      <c r="P95" s="156">
        <v>0</v>
      </c>
      <c r="Q95" s="156">
        <v>0</v>
      </c>
      <c r="R95" s="156">
        <v>0</v>
      </c>
      <c r="S95" s="156">
        <v>0</v>
      </c>
      <c r="T95" s="156">
        <v>0</v>
      </c>
      <c r="U95" s="156">
        <v>0</v>
      </c>
      <c r="V95" s="156">
        <v>0</v>
      </c>
      <c r="W95" s="156">
        <v>0</v>
      </c>
      <c r="X95" s="156">
        <v>0</v>
      </c>
      <c r="Y95" s="156">
        <v>0</v>
      </c>
      <c r="Z95" s="156">
        <v>-38.76</v>
      </c>
      <c r="AA95" s="156">
        <v>0</v>
      </c>
      <c r="AB95" s="156">
        <v>0</v>
      </c>
      <c r="AC95" s="156">
        <v>0</v>
      </c>
      <c r="AD95" s="156">
        <v>0</v>
      </c>
      <c r="AE95" s="156">
        <v>0</v>
      </c>
      <c r="AF95" s="156">
        <v>0</v>
      </c>
      <c r="AG95" s="156">
        <v>0</v>
      </c>
      <c r="AH95" s="156">
        <v>0</v>
      </c>
      <c r="AI95" s="156">
        <v>0</v>
      </c>
      <c r="AJ95" s="156">
        <v>0</v>
      </c>
      <c r="AK95" s="156">
        <v>0</v>
      </c>
      <c r="AL95" s="156">
        <v>-112.17</v>
      </c>
      <c r="AM95" s="156">
        <v>512.79999999999995</v>
      </c>
      <c r="AN95" s="156">
        <v>0</v>
      </c>
      <c r="AO95" s="156">
        <v>0</v>
      </c>
      <c r="AP95" s="156">
        <v>0</v>
      </c>
      <c r="AQ95" s="156">
        <v>0</v>
      </c>
      <c r="AR95" s="156">
        <v>0</v>
      </c>
      <c r="AS95" s="156">
        <v>0</v>
      </c>
      <c r="AT95" s="156">
        <f t="shared" si="7"/>
        <v>-9971.1600000000017</v>
      </c>
    </row>
    <row r="96" spans="1:46" ht="11.25" hidden="1" outlineLevel="3">
      <c r="A96" s="155" t="s">
        <v>152</v>
      </c>
      <c r="D96" s="156" t="s">
        <v>62</v>
      </c>
      <c r="E96" s="156" t="s">
        <v>138</v>
      </c>
      <c r="F96" s="157">
        <v>0</v>
      </c>
      <c r="G96" s="157">
        <v>-99340</v>
      </c>
      <c r="H96" s="156">
        <v>-10504.6</v>
      </c>
      <c r="I96" s="156">
        <v>0</v>
      </c>
      <c r="J96" s="156">
        <v>0</v>
      </c>
      <c r="K96" s="156">
        <v>63.21</v>
      </c>
      <c r="L96" s="156">
        <v>0</v>
      </c>
      <c r="M96" s="156">
        <v>0</v>
      </c>
      <c r="N96" s="156">
        <f t="shared" si="6"/>
        <v>63.21</v>
      </c>
      <c r="O96" s="156">
        <v>0</v>
      </c>
      <c r="P96" s="156">
        <v>0</v>
      </c>
      <c r="Q96" s="156">
        <v>0</v>
      </c>
      <c r="R96" s="156">
        <v>0</v>
      </c>
      <c r="S96" s="156">
        <v>0</v>
      </c>
      <c r="T96" s="156">
        <v>0</v>
      </c>
      <c r="U96" s="156">
        <v>0</v>
      </c>
      <c r="V96" s="156">
        <v>0</v>
      </c>
      <c r="W96" s="156">
        <v>0</v>
      </c>
      <c r="X96" s="156">
        <v>0</v>
      </c>
      <c r="Y96" s="156">
        <v>0</v>
      </c>
      <c r="Z96" s="156">
        <v>-38.74</v>
      </c>
      <c r="AA96" s="156">
        <v>0</v>
      </c>
      <c r="AB96" s="156">
        <v>0</v>
      </c>
      <c r="AC96" s="156">
        <v>0</v>
      </c>
      <c r="AD96" s="156">
        <v>0</v>
      </c>
      <c r="AE96" s="156">
        <v>0</v>
      </c>
      <c r="AF96" s="156">
        <v>0</v>
      </c>
      <c r="AG96" s="156">
        <v>0</v>
      </c>
      <c r="AH96" s="156">
        <v>0</v>
      </c>
      <c r="AI96" s="156">
        <v>0</v>
      </c>
      <c r="AJ96" s="156">
        <v>0</v>
      </c>
      <c r="AK96" s="156">
        <v>0</v>
      </c>
      <c r="AL96" s="156">
        <v>-112.13</v>
      </c>
      <c r="AM96" s="156">
        <v>512.6</v>
      </c>
      <c r="AN96" s="156">
        <v>0</v>
      </c>
      <c r="AO96" s="156">
        <v>0</v>
      </c>
      <c r="AP96" s="156">
        <v>0</v>
      </c>
      <c r="AQ96" s="156">
        <v>0</v>
      </c>
      <c r="AR96" s="156">
        <v>0</v>
      </c>
      <c r="AS96" s="156">
        <v>0</v>
      </c>
      <c r="AT96" s="156">
        <f t="shared" si="7"/>
        <v>-9967.5300000000007</v>
      </c>
    </row>
    <row r="97" spans="1:46" ht="11.25" hidden="1" outlineLevel="3">
      <c r="A97" s="155" t="s">
        <v>152</v>
      </c>
      <c r="D97" s="156" t="s">
        <v>62</v>
      </c>
      <c r="E97" s="156" t="s">
        <v>138</v>
      </c>
      <c r="F97" s="157">
        <v>0</v>
      </c>
      <c r="G97" s="157">
        <v>-98636</v>
      </c>
      <c r="H97" s="156">
        <v>-10432.129999999999</v>
      </c>
      <c r="I97" s="156">
        <v>-75.17</v>
      </c>
      <c r="J97" s="156">
        <v>0</v>
      </c>
      <c r="K97" s="156">
        <v>65.569999999999993</v>
      </c>
      <c r="L97" s="156">
        <v>0</v>
      </c>
      <c r="M97" s="156">
        <v>0</v>
      </c>
      <c r="N97" s="156">
        <f t="shared" si="6"/>
        <v>65.569999999999993</v>
      </c>
      <c r="O97" s="156">
        <v>0</v>
      </c>
      <c r="P97" s="156">
        <v>0</v>
      </c>
      <c r="Q97" s="156">
        <v>0</v>
      </c>
      <c r="R97" s="156">
        <v>0</v>
      </c>
      <c r="S97" s="156">
        <v>0</v>
      </c>
      <c r="T97" s="156">
        <v>0</v>
      </c>
      <c r="U97" s="156">
        <v>0</v>
      </c>
      <c r="V97" s="156">
        <v>0</v>
      </c>
      <c r="W97" s="156">
        <v>0</v>
      </c>
      <c r="X97" s="156">
        <v>0</v>
      </c>
      <c r="Y97" s="156">
        <v>0</v>
      </c>
      <c r="Z97" s="156">
        <v>-38.46</v>
      </c>
      <c r="AA97" s="156">
        <v>0</v>
      </c>
      <c r="AB97" s="156">
        <v>0</v>
      </c>
      <c r="AC97" s="156">
        <v>0</v>
      </c>
      <c r="AD97" s="156">
        <v>0</v>
      </c>
      <c r="AE97" s="156">
        <v>0</v>
      </c>
      <c r="AF97" s="156">
        <v>0</v>
      </c>
      <c r="AG97" s="156">
        <v>0</v>
      </c>
      <c r="AH97" s="156">
        <v>0</v>
      </c>
      <c r="AI97" s="156">
        <v>0</v>
      </c>
      <c r="AJ97" s="156">
        <v>0</v>
      </c>
      <c r="AK97" s="156">
        <v>0</v>
      </c>
      <c r="AL97" s="156">
        <v>-111.32</v>
      </c>
      <c r="AM97" s="156">
        <v>508.96</v>
      </c>
      <c r="AN97" s="156">
        <v>0</v>
      </c>
      <c r="AO97" s="156">
        <v>0</v>
      </c>
      <c r="AP97" s="156">
        <v>0</v>
      </c>
      <c r="AQ97" s="156">
        <v>0</v>
      </c>
      <c r="AR97" s="156">
        <v>0</v>
      </c>
      <c r="AS97" s="156">
        <v>0</v>
      </c>
      <c r="AT97" s="156">
        <f t="shared" si="7"/>
        <v>-9971.23</v>
      </c>
    </row>
    <row r="98" spans="1:46" ht="11.25" hidden="1" outlineLevel="3">
      <c r="A98" s="155" t="s">
        <v>152</v>
      </c>
      <c r="D98" s="156" t="s">
        <v>62</v>
      </c>
      <c r="E98" s="156" t="s">
        <v>138</v>
      </c>
      <c r="F98" s="157">
        <v>0</v>
      </c>
      <c r="G98" s="157">
        <v>-99112</v>
      </c>
      <c r="H98" s="156">
        <v>-10480.1</v>
      </c>
      <c r="I98" s="156">
        <v>0</v>
      </c>
      <c r="J98" s="156">
        <v>0</v>
      </c>
      <c r="K98" s="156">
        <v>63.05</v>
      </c>
      <c r="L98" s="156">
        <v>0</v>
      </c>
      <c r="M98" s="156">
        <v>0</v>
      </c>
      <c r="N98" s="156">
        <f t="shared" si="6"/>
        <v>63.05</v>
      </c>
      <c r="O98" s="156">
        <v>0</v>
      </c>
      <c r="P98" s="156">
        <v>0</v>
      </c>
      <c r="Q98" s="156">
        <v>0</v>
      </c>
      <c r="R98" s="156">
        <v>0</v>
      </c>
      <c r="S98" s="156">
        <v>0</v>
      </c>
      <c r="T98" s="156">
        <v>0</v>
      </c>
      <c r="U98" s="156">
        <v>0</v>
      </c>
      <c r="V98" s="156">
        <v>0</v>
      </c>
      <c r="W98" s="156">
        <v>0</v>
      </c>
      <c r="X98" s="156">
        <v>0</v>
      </c>
      <c r="Y98" s="156">
        <v>0</v>
      </c>
      <c r="Z98" s="156">
        <v>-38.659999999999997</v>
      </c>
      <c r="AA98" s="156">
        <v>0</v>
      </c>
      <c r="AB98" s="156">
        <v>0</v>
      </c>
      <c r="AC98" s="156">
        <v>0</v>
      </c>
      <c r="AD98" s="156">
        <v>0</v>
      </c>
      <c r="AE98" s="156">
        <v>0</v>
      </c>
      <c r="AF98" s="156">
        <v>0</v>
      </c>
      <c r="AG98" s="156">
        <v>0</v>
      </c>
      <c r="AH98" s="156">
        <v>0</v>
      </c>
      <c r="AI98" s="156">
        <v>0</v>
      </c>
      <c r="AJ98" s="156">
        <v>0</v>
      </c>
      <c r="AK98" s="156">
        <v>0</v>
      </c>
      <c r="AL98" s="156">
        <v>-111.89</v>
      </c>
      <c r="AM98" s="156">
        <v>511.41</v>
      </c>
      <c r="AN98" s="156">
        <v>0</v>
      </c>
      <c r="AO98" s="156">
        <v>0</v>
      </c>
      <c r="AP98" s="156">
        <v>0</v>
      </c>
      <c r="AQ98" s="156">
        <v>0</v>
      </c>
      <c r="AR98" s="156">
        <v>0</v>
      </c>
      <c r="AS98" s="156">
        <v>0</v>
      </c>
      <c r="AT98" s="156">
        <f t="shared" si="7"/>
        <v>-9944.3000000000011</v>
      </c>
    </row>
    <row r="99" spans="1:46" ht="11.25" hidden="1" outlineLevel="3">
      <c r="A99" s="155" t="s">
        <v>152</v>
      </c>
      <c r="D99" s="156" t="s">
        <v>62</v>
      </c>
      <c r="E99" s="156" t="s">
        <v>138</v>
      </c>
      <c r="F99" s="157">
        <v>0</v>
      </c>
      <c r="G99" s="157">
        <v>-99898</v>
      </c>
      <c r="H99" s="156">
        <v>-10577.81</v>
      </c>
      <c r="I99" s="156">
        <v>0</v>
      </c>
      <c r="J99" s="156">
        <v>0</v>
      </c>
      <c r="K99" s="156">
        <v>76.22</v>
      </c>
      <c r="L99" s="156">
        <v>0</v>
      </c>
      <c r="M99" s="156">
        <v>0</v>
      </c>
      <c r="N99" s="156">
        <f t="shared" si="6"/>
        <v>76.22</v>
      </c>
      <c r="O99" s="156">
        <v>0</v>
      </c>
      <c r="P99" s="156">
        <v>0</v>
      </c>
      <c r="Q99" s="156">
        <v>0</v>
      </c>
      <c r="R99" s="156">
        <v>0</v>
      </c>
      <c r="S99" s="156">
        <v>0</v>
      </c>
      <c r="T99" s="156">
        <v>0</v>
      </c>
      <c r="U99" s="156">
        <v>0</v>
      </c>
      <c r="V99" s="156">
        <v>0</v>
      </c>
      <c r="W99" s="156">
        <v>0</v>
      </c>
      <c r="X99" s="156">
        <v>0</v>
      </c>
      <c r="Y99" s="156">
        <v>0</v>
      </c>
      <c r="Z99" s="156">
        <v>-38.96</v>
      </c>
      <c r="AA99" s="156">
        <v>0</v>
      </c>
      <c r="AB99" s="156">
        <v>0</v>
      </c>
      <c r="AC99" s="156">
        <v>0</v>
      </c>
      <c r="AD99" s="156">
        <v>0</v>
      </c>
      <c r="AE99" s="156">
        <v>0</v>
      </c>
      <c r="AF99" s="156">
        <v>0</v>
      </c>
      <c r="AG99" s="156">
        <v>0</v>
      </c>
      <c r="AH99" s="156">
        <v>0</v>
      </c>
      <c r="AI99" s="156">
        <v>0</v>
      </c>
      <c r="AJ99" s="156">
        <v>0</v>
      </c>
      <c r="AK99" s="156">
        <v>0</v>
      </c>
      <c r="AL99" s="156">
        <v>0</v>
      </c>
      <c r="AM99" s="156">
        <v>515.47</v>
      </c>
      <c r="AN99" s="156">
        <v>0</v>
      </c>
      <c r="AO99" s="156">
        <v>0</v>
      </c>
      <c r="AP99" s="156">
        <v>0</v>
      </c>
      <c r="AQ99" s="156">
        <v>0</v>
      </c>
      <c r="AR99" s="156">
        <v>0</v>
      </c>
      <c r="AS99" s="156">
        <v>0</v>
      </c>
      <c r="AT99" s="156">
        <f t="shared" si="7"/>
        <v>-10025.08</v>
      </c>
    </row>
    <row r="100" spans="1:46" ht="11.25" hidden="1" outlineLevel="3">
      <c r="A100" s="155" t="s">
        <v>152</v>
      </c>
      <c r="D100" s="156" t="s">
        <v>62</v>
      </c>
      <c r="E100" s="156" t="s">
        <v>138</v>
      </c>
      <c r="F100" s="157">
        <v>0</v>
      </c>
      <c r="G100" s="157">
        <v>-99727</v>
      </c>
      <c r="H100" s="156">
        <v>-10558.56</v>
      </c>
      <c r="I100" s="156">
        <v>0</v>
      </c>
      <c r="J100" s="156">
        <v>0</v>
      </c>
      <c r="K100" s="156">
        <v>63.95</v>
      </c>
      <c r="L100" s="156">
        <v>0</v>
      </c>
      <c r="M100" s="156">
        <v>0</v>
      </c>
      <c r="N100" s="156">
        <f t="shared" si="6"/>
        <v>63.95</v>
      </c>
      <c r="O100" s="156">
        <v>0</v>
      </c>
      <c r="P100" s="156">
        <v>0</v>
      </c>
      <c r="Q100" s="156">
        <v>0</v>
      </c>
      <c r="R100" s="156">
        <v>0</v>
      </c>
      <c r="S100" s="156">
        <v>0</v>
      </c>
      <c r="T100" s="156">
        <v>0</v>
      </c>
      <c r="U100" s="156">
        <v>0</v>
      </c>
      <c r="V100" s="156">
        <v>0</v>
      </c>
      <c r="W100" s="156">
        <v>0</v>
      </c>
      <c r="X100" s="156">
        <v>0</v>
      </c>
      <c r="Y100" s="156">
        <v>0</v>
      </c>
      <c r="Z100" s="156">
        <v>-38.89</v>
      </c>
      <c r="AA100" s="156">
        <v>0</v>
      </c>
      <c r="AB100" s="156">
        <v>0</v>
      </c>
      <c r="AC100" s="156">
        <v>0</v>
      </c>
      <c r="AD100" s="156">
        <v>0</v>
      </c>
      <c r="AE100" s="156">
        <v>0</v>
      </c>
      <c r="AF100" s="156">
        <v>0</v>
      </c>
      <c r="AG100" s="156">
        <v>0</v>
      </c>
      <c r="AH100" s="156">
        <v>0</v>
      </c>
      <c r="AI100" s="156">
        <v>0</v>
      </c>
      <c r="AJ100" s="156">
        <v>0</v>
      </c>
      <c r="AK100" s="156">
        <v>0</v>
      </c>
      <c r="AL100" s="156">
        <v>-150.28</v>
      </c>
      <c r="AM100" s="156">
        <v>514.59</v>
      </c>
      <c r="AN100" s="156">
        <v>0</v>
      </c>
      <c r="AO100" s="156">
        <v>0</v>
      </c>
      <c r="AP100" s="156">
        <v>0</v>
      </c>
      <c r="AQ100" s="156">
        <v>0</v>
      </c>
      <c r="AR100" s="156">
        <v>0</v>
      </c>
      <c r="AS100" s="156">
        <v>0</v>
      </c>
      <c r="AT100" s="156">
        <f t="shared" si="7"/>
        <v>-10018.909999999998</v>
      </c>
    </row>
    <row r="101" spans="1:46" ht="11.25" hidden="1" outlineLevel="3">
      <c r="A101" s="155" t="s">
        <v>152</v>
      </c>
      <c r="D101" s="156" t="s">
        <v>62</v>
      </c>
      <c r="E101" s="156" t="s">
        <v>138</v>
      </c>
      <c r="F101" s="157">
        <v>0</v>
      </c>
      <c r="G101" s="157">
        <v>-97684</v>
      </c>
      <c r="H101" s="156">
        <v>-10337.99</v>
      </c>
      <c r="I101" s="156">
        <v>-195.95</v>
      </c>
      <c r="J101" s="156">
        <v>0</v>
      </c>
      <c r="K101" s="156">
        <v>74.53</v>
      </c>
      <c r="L101" s="156">
        <v>0</v>
      </c>
      <c r="M101" s="156">
        <v>0</v>
      </c>
      <c r="N101" s="156">
        <f t="shared" si="6"/>
        <v>74.53</v>
      </c>
      <c r="O101" s="156">
        <v>0</v>
      </c>
      <c r="P101" s="156">
        <v>0</v>
      </c>
      <c r="Q101" s="156">
        <v>0</v>
      </c>
      <c r="R101" s="156">
        <v>0</v>
      </c>
      <c r="S101" s="156">
        <v>0</v>
      </c>
      <c r="T101" s="156">
        <v>0</v>
      </c>
      <c r="U101" s="156">
        <v>0</v>
      </c>
      <c r="V101" s="156">
        <v>0</v>
      </c>
      <c r="W101" s="156">
        <v>0</v>
      </c>
      <c r="X101" s="156">
        <v>0</v>
      </c>
      <c r="Y101" s="156">
        <v>0</v>
      </c>
      <c r="Z101" s="156">
        <v>-38.1</v>
      </c>
      <c r="AA101" s="156">
        <v>0</v>
      </c>
      <c r="AB101" s="156">
        <v>0</v>
      </c>
      <c r="AC101" s="156">
        <v>0</v>
      </c>
      <c r="AD101" s="156">
        <v>0</v>
      </c>
      <c r="AE101" s="156">
        <v>0</v>
      </c>
      <c r="AF101" s="156">
        <v>0</v>
      </c>
      <c r="AG101" s="156">
        <v>0</v>
      </c>
      <c r="AH101" s="156">
        <v>0</v>
      </c>
      <c r="AI101" s="156">
        <v>0</v>
      </c>
      <c r="AJ101" s="156">
        <v>0</v>
      </c>
      <c r="AK101" s="156">
        <v>0</v>
      </c>
      <c r="AL101" s="156">
        <v>-97.97</v>
      </c>
      <c r="AM101" s="156">
        <v>504.05</v>
      </c>
      <c r="AN101" s="156">
        <v>0</v>
      </c>
      <c r="AO101" s="156">
        <v>0</v>
      </c>
      <c r="AP101" s="156">
        <v>0</v>
      </c>
      <c r="AQ101" s="156">
        <v>0</v>
      </c>
      <c r="AR101" s="156">
        <v>0</v>
      </c>
      <c r="AS101" s="156">
        <v>0</v>
      </c>
      <c r="AT101" s="156">
        <f t="shared" si="7"/>
        <v>-9993.4600000000009</v>
      </c>
    </row>
    <row r="102" spans="1:46" ht="11.25" hidden="1" outlineLevel="3">
      <c r="A102" s="155" t="s">
        <v>152</v>
      </c>
      <c r="D102" s="156" t="s">
        <v>62</v>
      </c>
      <c r="E102" s="156" t="s">
        <v>138</v>
      </c>
      <c r="F102" s="157">
        <v>0</v>
      </c>
      <c r="G102" s="157">
        <v>-98917</v>
      </c>
      <c r="H102" s="156">
        <v>-10459.48</v>
      </c>
      <c r="I102" s="156">
        <v>0</v>
      </c>
      <c r="J102" s="156">
        <v>0</v>
      </c>
      <c r="K102" s="156">
        <v>62.94</v>
      </c>
      <c r="L102" s="156">
        <v>0</v>
      </c>
      <c r="M102" s="156">
        <v>0</v>
      </c>
      <c r="N102" s="156">
        <f t="shared" si="6"/>
        <v>62.94</v>
      </c>
      <c r="O102" s="156">
        <v>0</v>
      </c>
      <c r="P102" s="156">
        <v>0</v>
      </c>
      <c r="Q102" s="156">
        <v>0</v>
      </c>
      <c r="R102" s="156">
        <v>0</v>
      </c>
      <c r="S102" s="156">
        <v>0</v>
      </c>
      <c r="T102" s="156">
        <v>0</v>
      </c>
      <c r="U102" s="156">
        <v>0</v>
      </c>
      <c r="V102" s="156">
        <v>0</v>
      </c>
      <c r="W102" s="156">
        <v>0</v>
      </c>
      <c r="X102" s="156">
        <v>0</v>
      </c>
      <c r="Y102" s="156">
        <v>0</v>
      </c>
      <c r="Z102" s="156">
        <v>-38.58</v>
      </c>
      <c r="AA102" s="156">
        <v>0</v>
      </c>
      <c r="AB102" s="156">
        <v>0</v>
      </c>
      <c r="AC102" s="156">
        <v>0</v>
      </c>
      <c r="AD102" s="156">
        <v>0</v>
      </c>
      <c r="AE102" s="156">
        <v>0</v>
      </c>
      <c r="AF102" s="156">
        <v>0</v>
      </c>
      <c r="AG102" s="156">
        <v>0</v>
      </c>
      <c r="AH102" s="156">
        <v>0</v>
      </c>
      <c r="AI102" s="156">
        <v>0</v>
      </c>
      <c r="AJ102" s="156">
        <v>0</v>
      </c>
      <c r="AK102" s="156">
        <v>0</v>
      </c>
      <c r="AL102" s="156">
        <v>-111.65</v>
      </c>
      <c r="AM102" s="156">
        <v>510.42</v>
      </c>
      <c r="AN102" s="156">
        <v>0</v>
      </c>
      <c r="AO102" s="156">
        <v>0</v>
      </c>
      <c r="AP102" s="156">
        <v>0</v>
      </c>
      <c r="AQ102" s="156">
        <v>0</v>
      </c>
      <c r="AR102" s="156">
        <v>0</v>
      </c>
      <c r="AS102" s="156">
        <v>0</v>
      </c>
      <c r="AT102" s="156">
        <f t="shared" si="7"/>
        <v>-9924.6999999999989</v>
      </c>
    </row>
    <row r="103" spans="1:46" ht="11.25" hidden="1" outlineLevel="3">
      <c r="A103" s="155" t="s">
        <v>131</v>
      </c>
      <c r="B103" s="155" t="s">
        <v>132</v>
      </c>
      <c r="C103" s="155" t="s">
        <v>133</v>
      </c>
      <c r="D103" s="156" t="s">
        <v>62</v>
      </c>
      <c r="E103" s="156" t="s">
        <v>138</v>
      </c>
      <c r="F103" s="157">
        <v>0</v>
      </c>
      <c r="G103" s="157">
        <v>3438077</v>
      </c>
      <c r="H103" s="156">
        <v>285532.17</v>
      </c>
      <c r="I103" s="156">
        <v>11702.46</v>
      </c>
      <c r="J103" s="156">
        <v>0</v>
      </c>
      <c r="K103" s="156">
        <v>0</v>
      </c>
      <c r="L103" s="156">
        <v>100254.25</v>
      </c>
      <c r="M103" s="156">
        <v>0</v>
      </c>
      <c r="N103" s="156">
        <f t="shared" si="6"/>
        <v>100254.25</v>
      </c>
      <c r="O103" s="156">
        <v>14061.87</v>
      </c>
      <c r="P103" s="156">
        <v>19459.68</v>
      </c>
      <c r="Q103" s="156">
        <v>0</v>
      </c>
      <c r="R103" s="156">
        <v>0</v>
      </c>
      <c r="S103" s="156">
        <v>0</v>
      </c>
      <c r="T103" s="156">
        <v>0</v>
      </c>
      <c r="U103" s="156">
        <v>0</v>
      </c>
      <c r="V103" s="156">
        <v>0</v>
      </c>
      <c r="W103" s="156">
        <v>0</v>
      </c>
      <c r="X103" s="156">
        <v>0</v>
      </c>
      <c r="Y103" s="156">
        <v>6876.48</v>
      </c>
      <c r="Z103" s="156">
        <v>0</v>
      </c>
      <c r="AA103" s="156">
        <v>12823.87</v>
      </c>
      <c r="AB103" s="156">
        <v>0</v>
      </c>
      <c r="AC103" s="156">
        <v>0</v>
      </c>
      <c r="AD103" s="156">
        <v>0</v>
      </c>
      <c r="AE103" s="156">
        <v>0</v>
      </c>
      <c r="AF103" s="156">
        <v>0</v>
      </c>
      <c r="AG103" s="156">
        <v>0</v>
      </c>
      <c r="AH103" s="156">
        <v>0</v>
      </c>
      <c r="AI103" s="156">
        <v>0</v>
      </c>
      <c r="AJ103" s="156">
        <v>125</v>
      </c>
      <c r="AK103" s="156">
        <v>-14.72</v>
      </c>
      <c r="AL103" s="156">
        <v>34062.6</v>
      </c>
      <c r="AM103" s="156">
        <v>-62776.73</v>
      </c>
      <c r="AN103" s="156">
        <v>0</v>
      </c>
      <c r="AO103" s="156">
        <v>0</v>
      </c>
      <c r="AP103" s="156">
        <v>0</v>
      </c>
      <c r="AQ103" s="156">
        <v>0</v>
      </c>
      <c r="AR103" s="156">
        <v>0</v>
      </c>
      <c r="AS103" s="156">
        <v>0</v>
      </c>
      <c r="AT103" s="156">
        <f t="shared" si="7"/>
        <v>387934.05</v>
      </c>
    </row>
    <row r="104" spans="1:46" ht="11.25" hidden="1" outlineLevel="3">
      <c r="A104" s="155" t="s">
        <v>131</v>
      </c>
      <c r="B104" s="155" t="s">
        <v>137</v>
      </c>
      <c r="C104" s="155" t="s">
        <v>133</v>
      </c>
      <c r="D104" s="156" t="s">
        <v>62</v>
      </c>
      <c r="E104" s="156" t="s">
        <v>138</v>
      </c>
      <c r="F104" s="157">
        <v>0</v>
      </c>
      <c r="G104" s="157">
        <v>72497</v>
      </c>
      <c r="H104" s="156">
        <v>6477.51</v>
      </c>
      <c r="I104" s="156">
        <v>316.39999999999998</v>
      </c>
      <c r="J104" s="156">
        <v>0</v>
      </c>
      <c r="K104" s="156">
        <v>0</v>
      </c>
      <c r="L104" s="156">
        <v>2114.0100000000002</v>
      </c>
      <c r="M104" s="156">
        <v>0</v>
      </c>
      <c r="N104" s="156">
        <f t="shared" si="6"/>
        <v>2114.0100000000002</v>
      </c>
      <c r="O104" s="156">
        <v>296.54000000000002</v>
      </c>
      <c r="P104" s="156">
        <v>410.32</v>
      </c>
      <c r="Q104" s="156">
        <v>0</v>
      </c>
      <c r="R104" s="156">
        <v>0</v>
      </c>
      <c r="S104" s="156">
        <v>0</v>
      </c>
      <c r="T104" s="156">
        <v>0</v>
      </c>
      <c r="U104" s="156">
        <v>0</v>
      </c>
      <c r="V104" s="156">
        <v>0</v>
      </c>
      <c r="W104" s="156">
        <v>0</v>
      </c>
      <c r="X104" s="156">
        <v>0</v>
      </c>
      <c r="Y104" s="156">
        <v>144.97999999999999</v>
      </c>
      <c r="Z104" s="156">
        <v>0</v>
      </c>
      <c r="AA104" s="156">
        <v>270.42</v>
      </c>
      <c r="AB104" s="156">
        <v>0</v>
      </c>
      <c r="AC104" s="156">
        <v>0</v>
      </c>
      <c r="AD104" s="156">
        <v>0</v>
      </c>
      <c r="AE104" s="156">
        <v>0</v>
      </c>
      <c r="AF104" s="156">
        <v>0</v>
      </c>
      <c r="AG104" s="156">
        <v>0</v>
      </c>
      <c r="AH104" s="156">
        <v>0</v>
      </c>
      <c r="AI104" s="156">
        <v>0</v>
      </c>
      <c r="AJ104" s="156">
        <v>25</v>
      </c>
      <c r="AK104" s="156">
        <v>0</v>
      </c>
      <c r="AL104" s="156">
        <v>810.01</v>
      </c>
      <c r="AM104" s="156">
        <v>-1417.04</v>
      </c>
      <c r="AN104" s="156">
        <v>0</v>
      </c>
      <c r="AO104" s="156">
        <v>0</v>
      </c>
      <c r="AP104" s="156">
        <v>0</v>
      </c>
      <c r="AQ104" s="156">
        <v>0</v>
      </c>
      <c r="AR104" s="156">
        <v>0</v>
      </c>
      <c r="AS104" s="156">
        <v>0</v>
      </c>
      <c r="AT104" s="156">
        <f t="shared" si="7"/>
        <v>8613.14</v>
      </c>
    </row>
    <row r="105" spans="1:46" ht="11.25" hidden="1" outlineLevel="3">
      <c r="A105" s="155" t="s">
        <v>145</v>
      </c>
      <c r="B105" s="155" t="s">
        <v>146</v>
      </c>
      <c r="C105" s="155" t="s">
        <v>133</v>
      </c>
      <c r="D105" s="156" t="s">
        <v>62</v>
      </c>
      <c r="E105" s="156" t="s">
        <v>138</v>
      </c>
      <c r="F105" s="157">
        <v>0</v>
      </c>
      <c r="G105" s="157">
        <v>3399949</v>
      </c>
      <c r="H105" s="156">
        <v>268317.03999999998</v>
      </c>
      <c r="I105" s="156">
        <v>15780.59</v>
      </c>
      <c r="J105" s="156">
        <v>0</v>
      </c>
      <c r="K105" s="156">
        <v>0</v>
      </c>
      <c r="L105" s="156">
        <v>0</v>
      </c>
      <c r="M105" s="156">
        <v>99194.240000000005</v>
      </c>
      <c r="N105" s="156">
        <f t="shared" si="6"/>
        <v>99194.240000000005</v>
      </c>
      <c r="O105" s="156">
        <v>0</v>
      </c>
      <c r="P105" s="156">
        <v>0</v>
      </c>
      <c r="Q105" s="156">
        <v>4488.05</v>
      </c>
      <c r="R105" s="156">
        <v>0</v>
      </c>
      <c r="S105" s="156">
        <v>0</v>
      </c>
      <c r="T105" s="156">
        <v>0</v>
      </c>
      <c r="U105" s="156">
        <v>0</v>
      </c>
      <c r="V105" s="156">
        <v>0</v>
      </c>
      <c r="W105" s="156">
        <v>0</v>
      </c>
      <c r="X105" s="156">
        <v>0</v>
      </c>
      <c r="Y105" s="156">
        <v>0</v>
      </c>
      <c r="Z105" s="156">
        <v>0</v>
      </c>
      <c r="AA105" s="156">
        <v>0</v>
      </c>
      <c r="AB105" s="156">
        <v>0</v>
      </c>
      <c r="AC105" s="156">
        <v>0</v>
      </c>
      <c r="AD105" s="156">
        <v>0</v>
      </c>
      <c r="AE105" s="156">
        <v>0</v>
      </c>
      <c r="AF105" s="156">
        <v>0</v>
      </c>
      <c r="AG105" s="156">
        <v>0</v>
      </c>
      <c r="AH105" s="156">
        <v>0</v>
      </c>
      <c r="AI105" s="156">
        <v>4695.82</v>
      </c>
      <c r="AJ105" s="156">
        <v>0</v>
      </c>
      <c r="AK105" s="156">
        <v>-10.23</v>
      </c>
      <c r="AL105" s="156">
        <v>10790.65</v>
      </c>
      <c r="AM105" s="156">
        <v>0</v>
      </c>
      <c r="AN105" s="156">
        <v>0</v>
      </c>
      <c r="AO105" s="156">
        <v>45321.94</v>
      </c>
      <c r="AP105" s="156">
        <v>0</v>
      </c>
      <c r="AQ105" s="156">
        <v>0</v>
      </c>
      <c r="AR105" s="156">
        <v>0</v>
      </c>
      <c r="AS105" s="156">
        <v>0</v>
      </c>
      <c r="AT105" s="156">
        <f t="shared" si="7"/>
        <v>433101.86</v>
      </c>
    </row>
    <row r="106" spans="1:46" ht="11.25" hidden="1" outlineLevel="3">
      <c r="A106" s="155" t="s">
        <v>145</v>
      </c>
      <c r="B106" s="155" t="s">
        <v>147</v>
      </c>
      <c r="C106" s="155" t="s">
        <v>133</v>
      </c>
      <c r="D106" s="156" t="s">
        <v>62</v>
      </c>
      <c r="E106" s="156" t="s">
        <v>138</v>
      </c>
      <c r="F106" s="157">
        <v>0</v>
      </c>
      <c r="G106" s="157">
        <v>1519574</v>
      </c>
      <c r="H106" s="156">
        <v>127338.24000000001</v>
      </c>
      <c r="I106" s="156">
        <v>6733.76</v>
      </c>
      <c r="J106" s="156">
        <v>0</v>
      </c>
      <c r="K106" s="156">
        <v>0</v>
      </c>
      <c r="L106" s="156">
        <v>0</v>
      </c>
      <c r="M106" s="156">
        <v>44023.62</v>
      </c>
      <c r="N106" s="156">
        <f t="shared" si="6"/>
        <v>44023.62</v>
      </c>
      <c r="O106" s="156">
        <v>0</v>
      </c>
      <c r="P106" s="156">
        <v>0</v>
      </c>
      <c r="Q106" s="156">
        <v>2005.53</v>
      </c>
      <c r="R106" s="156">
        <v>0</v>
      </c>
      <c r="S106" s="156">
        <v>0</v>
      </c>
      <c r="T106" s="156">
        <v>0</v>
      </c>
      <c r="U106" s="156">
        <v>0</v>
      </c>
      <c r="V106" s="156">
        <v>0</v>
      </c>
      <c r="W106" s="156">
        <v>0</v>
      </c>
      <c r="X106" s="156">
        <v>0</v>
      </c>
      <c r="Y106" s="156">
        <v>0</v>
      </c>
      <c r="Z106" s="156">
        <v>0</v>
      </c>
      <c r="AA106" s="156">
        <v>0</v>
      </c>
      <c r="AB106" s="156">
        <v>0</v>
      </c>
      <c r="AC106" s="156">
        <v>0</v>
      </c>
      <c r="AD106" s="156">
        <v>0</v>
      </c>
      <c r="AE106" s="156">
        <v>0</v>
      </c>
      <c r="AF106" s="156">
        <v>0</v>
      </c>
      <c r="AG106" s="156">
        <v>0</v>
      </c>
      <c r="AH106" s="156">
        <v>0</v>
      </c>
      <c r="AI106" s="156">
        <v>1760.12</v>
      </c>
      <c r="AJ106" s="156">
        <v>20</v>
      </c>
      <c r="AK106" s="156">
        <v>-29.8</v>
      </c>
      <c r="AL106" s="156">
        <v>4409.63</v>
      </c>
      <c r="AM106" s="156">
        <v>0</v>
      </c>
      <c r="AN106" s="156">
        <v>0</v>
      </c>
      <c r="AO106" s="156">
        <v>20252.740000000002</v>
      </c>
      <c r="AP106" s="156">
        <v>0</v>
      </c>
      <c r="AQ106" s="156">
        <v>0</v>
      </c>
      <c r="AR106" s="156">
        <v>0</v>
      </c>
      <c r="AS106" s="156">
        <v>0</v>
      </c>
      <c r="AT106" s="156">
        <f t="shared" si="7"/>
        <v>200353.88999999998</v>
      </c>
    </row>
    <row r="107" spans="1:46" ht="11.25" hidden="1" outlineLevel="3">
      <c r="A107" s="155" t="s">
        <v>152</v>
      </c>
      <c r="B107" s="155" t="s">
        <v>153</v>
      </c>
      <c r="C107" s="155" t="s">
        <v>133</v>
      </c>
      <c r="D107" s="156" t="s">
        <v>62</v>
      </c>
      <c r="E107" s="156" t="s">
        <v>138</v>
      </c>
      <c r="F107" s="157">
        <v>0</v>
      </c>
      <c r="G107" s="157">
        <v>14540036</v>
      </c>
      <c r="H107" s="156">
        <v>1888759.72</v>
      </c>
      <c r="I107" s="156">
        <v>53669.37</v>
      </c>
      <c r="J107" s="156">
        <v>0</v>
      </c>
      <c r="K107" s="156">
        <v>22301.54</v>
      </c>
      <c r="L107" s="156">
        <v>0</v>
      </c>
      <c r="M107" s="156">
        <v>0</v>
      </c>
      <c r="N107" s="156">
        <f t="shared" si="6"/>
        <v>22301.54</v>
      </c>
      <c r="O107" s="156">
        <v>0</v>
      </c>
      <c r="P107" s="156">
        <v>0</v>
      </c>
      <c r="Q107" s="156">
        <v>0</v>
      </c>
      <c r="R107" s="156">
        <v>0</v>
      </c>
      <c r="S107" s="156">
        <v>0</v>
      </c>
      <c r="T107" s="156">
        <v>0</v>
      </c>
      <c r="U107" s="156">
        <v>0</v>
      </c>
      <c r="V107" s="156">
        <v>0</v>
      </c>
      <c r="W107" s="156">
        <v>0</v>
      </c>
      <c r="X107" s="156">
        <v>0</v>
      </c>
      <c r="Y107" s="156">
        <v>0</v>
      </c>
      <c r="Z107" s="156">
        <v>5670.16</v>
      </c>
      <c r="AA107" s="156">
        <v>0</v>
      </c>
      <c r="AB107" s="156">
        <v>0</v>
      </c>
      <c r="AC107" s="156">
        <v>0</v>
      </c>
      <c r="AD107" s="156">
        <v>0</v>
      </c>
      <c r="AE107" s="156">
        <v>0</v>
      </c>
      <c r="AF107" s="156">
        <v>0</v>
      </c>
      <c r="AG107" s="156">
        <v>0</v>
      </c>
      <c r="AH107" s="156">
        <v>0</v>
      </c>
      <c r="AI107" s="156">
        <v>4917.99</v>
      </c>
      <c r="AJ107" s="156">
        <v>200</v>
      </c>
      <c r="AK107" s="156">
        <v>-398.48</v>
      </c>
      <c r="AL107" s="156">
        <v>14435.16</v>
      </c>
      <c r="AM107" s="156">
        <v>-75027.56</v>
      </c>
      <c r="AN107" s="156">
        <v>0</v>
      </c>
      <c r="AO107" s="156">
        <v>0</v>
      </c>
      <c r="AP107" s="156">
        <v>0</v>
      </c>
      <c r="AQ107" s="156">
        <v>0</v>
      </c>
      <c r="AR107" s="156">
        <v>-2420.1</v>
      </c>
      <c r="AS107" s="156">
        <v>-551536.75336125202</v>
      </c>
      <c r="AT107" s="156">
        <f t="shared" si="7"/>
        <v>1895373.23</v>
      </c>
    </row>
    <row r="108" spans="1:46" ht="11.25" hidden="1" outlineLevel="3">
      <c r="A108" s="155" t="s">
        <v>152</v>
      </c>
      <c r="B108" s="155" t="s">
        <v>146</v>
      </c>
      <c r="C108" s="155" t="s">
        <v>133</v>
      </c>
      <c r="D108" s="156" t="s">
        <v>62</v>
      </c>
      <c r="E108" s="156" t="s">
        <v>138</v>
      </c>
      <c r="F108" s="157">
        <v>0</v>
      </c>
      <c r="G108" s="157">
        <v>214</v>
      </c>
      <c r="H108" s="156">
        <v>40.83</v>
      </c>
      <c r="I108" s="156">
        <v>2</v>
      </c>
      <c r="J108" s="156">
        <v>0</v>
      </c>
      <c r="K108" s="156">
        <v>0.09</v>
      </c>
      <c r="L108" s="156">
        <v>0</v>
      </c>
      <c r="M108" s="156">
        <v>0</v>
      </c>
      <c r="N108" s="156">
        <f t="shared" si="6"/>
        <v>0.09</v>
      </c>
      <c r="O108" s="156">
        <v>0</v>
      </c>
      <c r="P108" s="156">
        <v>0</v>
      </c>
      <c r="Q108" s="156">
        <v>0</v>
      </c>
      <c r="R108" s="156">
        <v>0</v>
      </c>
      <c r="S108" s="156">
        <v>0</v>
      </c>
      <c r="T108" s="156">
        <v>0</v>
      </c>
      <c r="U108" s="156">
        <v>0</v>
      </c>
      <c r="V108" s="156">
        <v>0</v>
      </c>
      <c r="W108" s="156">
        <v>0</v>
      </c>
      <c r="X108" s="156">
        <v>0</v>
      </c>
      <c r="Y108" s="156">
        <v>0</v>
      </c>
      <c r="Z108" s="156">
        <v>0.08</v>
      </c>
      <c r="AA108" s="156">
        <v>0</v>
      </c>
      <c r="AB108" s="156">
        <v>0</v>
      </c>
      <c r="AC108" s="156">
        <v>0</v>
      </c>
      <c r="AD108" s="156">
        <v>0</v>
      </c>
      <c r="AE108" s="156">
        <v>0</v>
      </c>
      <c r="AF108" s="156">
        <v>0</v>
      </c>
      <c r="AG108" s="156">
        <v>0</v>
      </c>
      <c r="AH108" s="156">
        <v>0</v>
      </c>
      <c r="AI108" s="156">
        <v>0</v>
      </c>
      <c r="AJ108" s="156">
        <v>0</v>
      </c>
      <c r="AK108" s="156">
        <v>0</v>
      </c>
      <c r="AL108" s="156">
        <v>1</v>
      </c>
      <c r="AM108" s="156">
        <v>-1.1000000000000001</v>
      </c>
      <c r="AN108" s="156">
        <v>0</v>
      </c>
      <c r="AO108" s="156">
        <v>0</v>
      </c>
      <c r="AP108" s="156">
        <v>0</v>
      </c>
      <c r="AQ108" s="156">
        <v>0</v>
      </c>
      <c r="AR108" s="156">
        <v>0</v>
      </c>
      <c r="AS108" s="156">
        <v>0</v>
      </c>
      <c r="AT108" s="156">
        <f t="shared" si="7"/>
        <v>41.9</v>
      </c>
    </row>
    <row r="109" spans="1:46" ht="11.25" hidden="1" outlineLevel="3">
      <c r="A109" s="155" t="s">
        <v>152</v>
      </c>
      <c r="B109" s="155" t="s">
        <v>154</v>
      </c>
      <c r="C109" s="155" t="s">
        <v>133</v>
      </c>
      <c r="D109" s="156" t="s">
        <v>62</v>
      </c>
      <c r="E109" s="156" t="s">
        <v>138</v>
      </c>
      <c r="F109" s="157">
        <v>0</v>
      </c>
      <c r="G109" s="157">
        <v>18240235</v>
      </c>
      <c r="H109" s="156">
        <v>2275434.25</v>
      </c>
      <c r="I109" s="156">
        <v>47503.49</v>
      </c>
      <c r="J109" s="156">
        <v>0</v>
      </c>
      <c r="K109" s="156">
        <v>39662.199999999997</v>
      </c>
      <c r="L109" s="156">
        <v>0</v>
      </c>
      <c r="M109" s="156">
        <v>0</v>
      </c>
      <c r="N109" s="156">
        <f t="shared" si="6"/>
        <v>39662.199999999997</v>
      </c>
      <c r="O109" s="156">
        <v>0</v>
      </c>
      <c r="P109" s="156">
        <v>0</v>
      </c>
      <c r="Q109" s="156">
        <v>0</v>
      </c>
      <c r="R109" s="156">
        <v>0</v>
      </c>
      <c r="S109" s="156">
        <v>0</v>
      </c>
      <c r="T109" s="156">
        <v>0</v>
      </c>
      <c r="U109" s="156">
        <v>0</v>
      </c>
      <c r="V109" s="156">
        <v>0</v>
      </c>
      <c r="W109" s="156">
        <v>0</v>
      </c>
      <c r="X109" s="156">
        <v>0</v>
      </c>
      <c r="Y109" s="156">
        <v>0</v>
      </c>
      <c r="Z109" s="156">
        <v>7113.58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56">
        <v>0</v>
      </c>
      <c r="AG109" s="156">
        <v>0</v>
      </c>
      <c r="AH109" s="156">
        <v>0</v>
      </c>
      <c r="AI109" s="156">
        <v>4590.93</v>
      </c>
      <c r="AJ109" s="156">
        <v>480</v>
      </c>
      <c r="AK109" s="156">
        <v>-529.33000000000004</v>
      </c>
      <c r="AL109" s="156">
        <v>48083.11</v>
      </c>
      <c r="AM109" s="156">
        <v>-94102.3</v>
      </c>
      <c r="AN109" s="156">
        <v>0</v>
      </c>
      <c r="AO109" s="156">
        <v>0</v>
      </c>
      <c r="AP109" s="156">
        <v>0</v>
      </c>
      <c r="AQ109" s="156">
        <v>0</v>
      </c>
      <c r="AR109" s="156">
        <v>-3203.16</v>
      </c>
      <c r="AS109" s="156">
        <v>-571565.68589973205</v>
      </c>
      <c r="AT109" s="156">
        <f t="shared" si="7"/>
        <v>2275611.2200000007</v>
      </c>
    </row>
    <row r="110" spans="1:46" ht="11.25" hidden="1" outlineLevel="3">
      <c r="A110" s="155" t="s">
        <v>152</v>
      </c>
      <c r="B110" s="155" t="s">
        <v>155</v>
      </c>
      <c r="C110" s="155" t="s">
        <v>133</v>
      </c>
      <c r="D110" s="156" t="s">
        <v>62</v>
      </c>
      <c r="E110" s="156" t="s">
        <v>138</v>
      </c>
      <c r="F110" s="157">
        <v>0</v>
      </c>
      <c r="G110" s="157">
        <v>0</v>
      </c>
      <c r="H110" s="156">
        <v>0</v>
      </c>
      <c r="I110" s="156">
        <v>0</v>
      </c>
      <c r="J110" s="156">
        <v>0</v>
      </c>
      <c r="K110" s="156">
        <v>0</v>
      </c>
      <c r="L110" s="156">
        <v>0</v>
      </c>
      <c r="M110" s="156">
        <v>0</v>
      </c>
      <c r="N110" s="156">
        <f t="shared" si="6"/>
        <v>0</v>
      </c>
      <c r="O110" s="156">
        <v>0</v>
      </c>
      <c r="P110" s="156">
        <v>0</v>
      </c>
      <c r="Q110" s="156">
        <v>0</v>
      </c>
      <c r="R110" s="156">
        <v>0</v>
      </c>
      <c r="S110" s="156">
        <v>0</v>
      </c>
      <c r="T110" s="156">
        <v>0</v>
      </c>
      <c r="U110" s="156">
        <v>0</v>
      </c>
      <c r="V110" s="156">
        <v>0</v>
      </c>
      <c r="W110" s="156">
        <v>0</v>
      </c>
      <c r="X110" s="156">
        <v>0</v>
      </c>
      <c r="Y110" s="156">
        <v>0</v>
      </c>
      <c r="Z110" s="156">
        <v>0</v>
      </c>
      <c r="AA110" s="156">
        <v>0</v>
      </c>
      <c r="AB110" s="156">
        <v>0</v>
      </c>
      <c r="AC110" s="156">
        <v>0</v>
      </c>
      <c r="AD110" s="156">
        <v>0</v>
      </c>
      <c r="AE110" s="156">
        <v>0</v>
      </c>
      <c r="AF110" s="156">
        <v>0</v>
      </c>
      <c r="AG110" s="156">
        <v>0</v>
      </c>
      <c r="AH110" s="156">
        <v>0</v>
      </c>
      <c r="AI110" s="156">
        <v>0</v>
      </c>
      <c r="AJ110" s="156">
        <v>0</v>
      </c>
      <c r="AK110" s="156">
        <v>0</v>
      </c>
      <c r="AL110" s="156">
        <v>0</v>
      </c>
      <c r="AM110" s="156">
        <v>0</v>
      </c>
      <c r="AN110" s="156">
        <v>0</v>
      </c>
      <c r="AO110" s="156">
        <v>0</v>
      </c>
      <c r="AP110" s="156">
        <v>0</v>
      </c>
      <c r="AQ110" s="156">
        <v>0</v>
      </c>
      <c r="AR110" s="156">
        <v>0</v>
      </c>
      <c r="AS110" s="156">
        <v>0</v>
      </c>
      <c r="AT110" s="156">
        <f t="shared" si="7"/>
        <v>0</v>
      </c>
    </row>
    <row r="111" spans="1:46" ht="11.25" hidden="1" outlineLevel="3">
      <c r="A111" s="155" t="s">
        <v>152</v>
      </c>
      <c r="B111" s="155" t="s">
        <v>155</v>
      </c>
      <c r="C111" s="155" t="s">
        <v>133</v>
      </c>
      <c r="D111" s="156" t="s">
        <v>62</v>
      </c>
      <c r="E111" s="156" t="s">
        <v>138</v>
      </c>
      <c r="F111" s="157">
        <v>0</v>
      </c>
      <c r="G111" s="157">
        <v>23343483</v>
      </c>
      <c r="H111" s="156">
        <v>2921373.37</v>
      </c>
      <c r="I111" s="156">
        <v>41084.53</v>
      </c>
      <c r="J111" s="156">
        <v>0</v>
      </c>
      <c r="K111" s="156">
        <v>18730.39</v>
      </c>
      <c r="L111" s="156">
        <v>0</v>
      </c>
      <c r="M111" s="156">
        <v>0</v>
      </c>
      <c r="N111" s="156">
        <f t="shared" si="6"/>
        <v>18730.39</v>
      </c>
      <c r="O111" s="156">
        <v>0</v>
      </c>
      <c r="P111" s="156">
        <v>0</v>
      </c>
      <c r="Q111" s="156">
        <v>0</v>
      </c>
      <c r="R111" s="156">
        <v>0</v>
      </c>
      <c r="S111" s="156">
        <v>0</v>
      </c>
      <c r="T111" s="156">
        <v>0</v>
      </c>
      <c r="U111" s="156">
        <v>0</v>
      </c>
      <c r="V111" s="156">
        <v>0</v>
      </c>
      <c r="W111" s="156">
        <v>0</v>
      </c>
      <c r="X111" s="156">
        <v>0</v>
      </c>
      <c r="Y111" s="156">
        <v>0</v>
      </c>
      <c r="Z111" s="156">
        <v>9103.51</v>
      </c>
      <c r="AA111" s="156">
        <v>0</v>
      </c>
      <c r="AB111" s="156">
        <v>0</v>
      </c>
      <c r="AC111" s="156">
        <v>0</v>
      </c>
      <c r="AD111" s="156">
        <v>0</v>
      </c>
      <c r="AE111" s="156">
        <v>0</v>
      </c>
      <c r="AF111" s="156">
        <v>0</v>
      </c>
      <c r="AG111" s="156">
        <v>0</v>
      </c>
      <c r="AH111" s="156">
        <v>0</v>
      </c>
      <c r="AI111" s="156">
        <v>4778.1099999999997</v>
      </c>
      <c r="AJ111" s="156">
        <v>660</v>
      </c>
      <c r="AK111" s="156">
        <v>-836.03</v>
      </c>
      <c r="AL111" s="156">
        <v>18491.52</v>
      </c>
      <c r="AM111" s="156">
        <v>-120414.29</v>
      </c>
      <c r="AN111" s="156">
        <v>0</v>
      </c>
      <c r="AO111" s="156">
        <v>0</v>
      </c>
      <c r="AP111" s="156">
        <v>0</v>
      </c>
      <c r="AQ111" s="156">
        <v>0</v>
      </c>
      <c r="AR111" s="156">
        <v>-1110.74</v>
      </c>
      <c r="AS111" s="156">
        <v>-91543.958011902097</v>
      </c>
      <c r="AT111" s="156">
        <f t="shared" si="7"/>
        <v>2869877.51</v>
      </c>
    </row>
    <row r="112" spans="1:46" ht="11.25" hidden="1" outlineLevel="3">
      <c r="A112" s="155" t="s">
        <v>152</v>
      </c>
      <c r="B112" s="155" t="s">
        <v>156</v>
      </c>
      <c r="C112" s="155" t="s">
        <v>133</v>
      </c>
      <c r="D112" s="156" t="s">
        <v>62</v>
      </c>
      <c r="E112" s="156" t="s">
        <v>138</v>
      </c>
      <c r="F112" s="157">
        <v>0</v>
      </c>
      <c r="G112" s="157">
        <v>23741</v>
      </c>
      <c r="H112" s="156">
        <v>2932.77</v>
      </c>
      <c r="I112" s="156">
        <v>38.619999999999997</v>
      </c>
      <c r="J112" s="156">
        <v>0</v>
      </c>
      <c r="K112" s="156">
        <v>45.51</v>
      </c>
      <c r="L112" s="156">
        <v>0</v>
      </c>
      <c r="M112" s="156">
        <v>0</v>
      </c>
      <c r="N112" s="156">
        <f t="shared" si="6"/>
        <v>45.51</v>
      </c>
      <c r="O112" s="156">
        <v>0</v>
      </c>
      <c r="P112" s="156">
        <v>0</v>
      </c>
      <c r="Q112" s="156">
        <v>0</v>
      </c>
      <c r="R112" s="156">
        <v>0</v>
      </c>
      <c r="S112" s="156">
        <v>0</v>
      </c>
      <c r="T112" s="156">
        <v>0</v>
      </c>
      <c r="U112" s="156">
        <v>0</v>
      </c>
      <c r="V112" s="156">
        <v>0</v>
      </c>
      <c r="W112" s="156">
        <v>0</v>
      </c>
      <c r="X112" s="156">
        <v>0</v>
      </c>
      <c r="Y112" s="156">
        <v>0</v>
      </c>
      <c r="Z112" s="156">
        <v>9.25</v>
      </c>
      <c r="AA112" s="156">
        <v>0</v>
      </c>
      <c r="AB112" s="156">
        <v>0</v>
      </c>
      <c r="AC112" s="156">
        <v>0</v>
      </c>
      <c r="AD112" s="156">
        <v>0</v>
      </c>
      <c r="AE112" s="156">
        <v>0</v>
      </c>
      <c r="AF112" s="156">
        <v>0</v>
      </c>
      <c r="AG112" s="156">
        <v>0</v>
      </c>
      <c r="AH112" s="156">
        <v>0</v>
      </c>
      <c r="AI112" s="156">
        <v>7.27</v>
      </c>
      <c r="AJ112" s="156">
        <v>0</v>
      </c>
      <c r="AK112" s="156">
        <v>0</v>
      </c>
      <c r="AL112" s="156">
        <v>56.89</v>
      </c>
      <c r="AM112" s="156">
        <v>-122.52</v>
      </c>
      <c r="AN112" s="156">
        <v>0</v>
      </c>
      <c r="AO112" s="156">
        <v>0</v>
      </c>
      <c r="AP112" s="156">
        <v>0</v>
      </c>
      <c r="AQ112" s="156">
        <v>0</v>
      </c>
      <c r="AR112" s="156">
        <v>0</v>
      </c>
      <c r="AS112" s="156">
        <v>0</v>
      </c>
      <c r="AT112" s="156">
        <f t="shared" si="7"/>
        <v>2903.63</v>
      </c>
    </row>
    <row r="113" spans="1:46" ht="11.25" hidden="1" outlineLevel="3">
      <c r="A113" s="155" t="s">
        <v>152</v>
      </c>
      <c r="B113" s="155" t="s">
        <v>132</v>
      </c>
      <c r="C113" s="155" t="s">
        <v>133</v>
      </c>
      <c r="D113" s="156" t="s">
        <v>62</v>
      </c>
      <c r="E113" s="156" t="s">
        <v>138</v>
      </c>
      <c r="F113" s="157">
        <v>0</v>
      </c>
      <c r="G113" s="157">
        <v>25859</v>
      </c>
      <c r="H113" s="156">
        <v>3285.37</v>
      </c>
      <c r="I113" s="156">
        <v>131.57</v>
      </c>
      <c r="J113" s="156">
        <v>0</v>
      </c>
      <c r="K113" s="156">
        <v>4.83</v>
      </c>
      <c r="L113" s="156">
        <v>0</v>
      </c>
      <c r="M113" s="156">
        <v>0</v>
      </c>
      <c r="N113" s="156">
        <f t="shared" si="6"/>
        <v>4.83</v>
      </c>
      <c r="O113" s="156">
        <v>0</v>
      </c>
      <c r="P113" s="156">
        <v>0</v>
      </c>
      <c r="Q113" s="156">
        <v>0</v>
      </c>
      <c r="R113" s="156">
        <v>0</v>
      </c>
      <c r="S113" s="156">
        <v>0</v>
      </c>
      <c r="T113" s="156">
        <v>0</v>
      </c>
      <c r="U113" s="156">
        <v>0</v>
      </c>
      <c r="V113" s="156">
        <v>0</v>
      </c>
      <c r="W113" s="156">
        <v>0</v>
      </c>
      <c r="X113" s="156">
        <v>0</v>
      </c>
      <c r="Y113" s="156">
        <v>0</v>
      </c>
      <c r="Z113" s="156">
        <v>10.08</v>
      </c>
      <c r="AA113" s="156">
        <v>0</v>
      </c>
      <c r="AB113" s="156">
        <v>0</v>
      </c>
      <c r="AC113" s="156">
        <v>0</v>
      </c>
      <c r="AD113" s="156">
        <v>0</v>
      </c>
      <c r="AE113" s="156">
        <v>0</v>
      </c>
      <c r="AF113" s="156">
        <v>0</v>
      </c>
      <c r="AG113" s="156">
        <v>0</v>
      </c>
      <c r="AH113" s="156">
        <v>0</v>
      </c>
      <c r="AI113" s="156">
        <v>4.3</v>
      </c>
      <c r="AJ113" s="156">
        <v>0</v>
      </c>
      <c r="AK113" s="156">
        <v>0</v>
      </c>
      <c r="AL113" s="156">
        <v>64.77</v>
      </c>
      <c r="AM113" s="156">
        <v>-133.44999999999999</v>
      </c>
      <c r="AN113" s="156">
        <v>0</v>
      </c>
      <c r="AO113" s="156">
        <v>0</v>
      </c>
      <c r="AP113" s="156">
        <v>0</v>
      </c>
      <c r="AQ113" s="156">
        <v>0</v>
      </c>
      <c r="AR113" s="156">
        <v>0</v>
      </c>
      <c r="AS113" s="156">
        <v>0</v>
      </c>
      <c r="AT113" s="156">
        <f t="shared" si="7"/>
        <v>3298.4</v>
      </c>
    </row>
    <row r="114" spans="1:46" ht="11.25" hidden="1" outlineLevel="3">
      <c r="A114" s="155" t="s">
        <v>152</v>
      </c>
      <c r="B114" s="155" t="s">
        <v>157</v>
      </c>
      <c r="C114" s="155" t="s">
        <v>133</v>
      </c>
      <c r="D114" s="156" t="s">
        <v>62</v>
      </c>
      <c r="E114" s="156" t="s">
        <v>138</v>
      </c>
      <c r="F114" s="157">
        <v>0</v>
      </c>
      <c r="G114" s="157">
        <v>31030622</v>
      </c>
      <c r="H114" s="156">
        <v>4019905.38</v>
      </c>
      <c r="I114" s="156">
        <v>177564.14</v>
      </c>
      <c r="J114" s="156">
        <v>0</v>
      </c>
      <c r="K114" s="156">
        <v>50521.16</v>
      </c>
      <c r="L114" s="156">
        <v>0</v>
      </c>
      <c r="M114" s="156">
        <v>0</v>
      </c>
      <c r="N114" s="156">
        <f t="shared" si="6"/>
        <v>50521.16</v>
      </c>
      <c r="O114" s="156">
        <v>0</v>
      </c>
      <c r="P114" s="156">
        <v>0</v>
      </c>
      <c r="Q114" s="156">
        <v>0</v>
      </c>
      <c r="R114" s="156">
        <v>0</v>
      </c>
      <c r="S114" s="156">
        <v>0</v>
      </c>
      <c r="T114" s="156">
        <v>0</v>
      </c>
      <c r="U114" s="156">
        <v>0</v>
      </c>
      <c r="V114" s="156">
        <v>0</v>
      </c>
      <c r="W114" s="156">
        <v>0</v>
      </c>
      <c r="X114" s="156">
        <v>0</v>
      </c>
      <c r="Y114" s="156">
        <v>0</v>
      </c>
      <c r="Z114" s="156">
        <v>12101.91</v>
      </c>
      <c r="AA114" s="156">
        <v>0</v>
      </c>
      <c r="AB114" s="156">
        <v>0</v>
      </c>
      <c r="AC114" s="156">
        <v>0</v>
      </c>
      <c r="AD114" s="156">
        <v>0</v>
      </c>
      <c r="AE114" s="156">
        <v>0</v>
      </c>
      <c r="AF114" s="156">
        <v>0</v>
      </c>
      <c r="AG114" s="156">
        <v>0</v>
      </c>
      <c r="AH114" s="156">
        <v>0</v>
      </c>
      <c r="AI114" s="156">
        <v>10465.700000000001</v>
      </c>
      <c r="AJ114" s="156">
        <v>900</v>
      </c>
      <c r="AK114" s="156">
        <v>-1366.76</v>
      </c>
      <c r="AL114" s="156">
        <v>12478.21</v>
      </c>
      <c r="AM114" s="156">
        <v>-160100.91</v>
      </c>
      <c r="AN114" s="156">
        <v>0</v>
      </c>
      <c r="AO114" s="156">
        <v>0</v>
      </c>
      <c r="AP114" s="156">
        <v>0</v>
      </c>
      <c r="AQ114" s="156">
        <v>0</v>
      </c>
      <c r="AR114" s="156">
        <v>-3339.85</v>
      </c>
      <c r="AS114" s="156">
        <v>-474218.09014767502</v>
      </c>
      <c r="AT114" s="156">
        <f t="shared" si="7"/>
        <v>4099991.6799999997</v>
      </c>
    </row>
    <row r="115" spans="1:46" ht="11.25" hidden="1" outlineLevel="3">
      <c r="A115" s="155" t="s">
        <v>152</v>
      </c>
      <c r="B115" s="155" t="s">
        <v>137</v>
      </c>
      <c r="C115" s="155" t="s">
        <v>133</v>
      </c>
      <c r="D115" s="156" t="s">
        <v>62</v>
      </c>
      <c r="E115" s="156" t="s">
        <v>138</v>
      </c>
      <c r="F115" s="157">
        <v>0</v>
      </c>
      <c r="G115" s="157">
        <v>16117462</v>
      </c>
      <c r="H115" s="156">
        <v>2064529.36</v>
      </c>
      <c r="I115" s="156">
        <v>53492.27</v>
      </c>
      <c r="J115" s="156">
        <v>0</v>
      </c>
      <c r="K115" s="156">
        <v>15957.57</v>
      </c>
      <c r="L115" s="156">
        <v>0</v>
      </c>
      <c r="M115" s="156">
        <v>0</v>
      </c>
      <c r="N115" s="156">
        <f t="shared" si="6"/>
        <v>15957.57</v>
      </c>
      <c r="O115" s="156">
        <v>0</v>
      </c>
      <c r="P115" s="156">
        <v>0</v>
      </c>
      <c r="Q115" s="156">
        <v>0</v>
      </c>
      <c r="R115" s="156">
        <v>0</v>
      </c>
      <c r="S115" s="156">
        <v>0</v>
      </c>
      <c r="T115" s="156">
        <v>0</v>
      </c>
      <c r="U115" s="156">
        <v>0</v>
      </c>
      <c r="V115" s="156">
        <v>0</v>
      </c>
      <c r="W115" s="156">
        <v>0</v>
      </c>
      <c r="X115" s="156">
        <v>0</v>
      </c>
      <c r="Y115" s="156">
        <v>0</v>
      </c>
      <c r="Z115" s="156">
        <v>6285.43</v>
      </c>
      <c r="AA115" s="156">
        <v>0</v>
      </c>
      <c r="AB115" s="156">
        <v>0</v>
      </c>
      <c r="AC115" s="156">
        <v>0</v>
      </c>
      <c r="AD115" s="156">
        <v>0</v>
      </c>
      <c r="AE115" s="156">
        <v>0</v>
      </c>
      <c r="AF115" s="156">
        <v>0</v>
      </c>
      <c r="AG115" s="156">
        <v>0</v>
      </c>
      <c r="AH115" s="156">
        <v>0</v>
      </c>
      <c r="AI115" s="156">
        <v>5263.17</v>
      </c>
      <c r="AJ115" s="156">
        <v>540</v>
      </c>
      <c r="AK115" s="156">
        <v>-450.07</v>
      </c>
      <c r="AL115" s="156">
        <v>38632.22</v>
      </c>
      <c r="AM115" s="156">
        <v>-83152.94</v>
      </c>
      <c r="AN115" s="156">
        <v>0</v>
      </c>
      <c r="AO115" s="156">
        <v>0</v>
      </c>
      <c r="AP115" s="156">
        <v>0</v>
      </c>
      <c r="AQ115" s="156">
        <v>0</v>
      </c>
      <c r="AR115" s="156">
        <v>-2512.35</v>
      </c>
      <c r="AS115" s="156">
        <v>-153296.48365752</v>
      </c>
      <c r="AT115" s="156">
        <f t="shared" si="7"/>
        <v>2057111.69</v>
      </c>
    </row>
    <row r="116" spans="1:46" ht="11.25" hidden="1" outlineLevel="3">
      <c r="A116" s="155" t="s">
        <v>152</v>
      </c>
      <c r="B116" s="155" t="s">
        <v>158</v>
      </c>
      <c r="C116" s="155" t="s">
        <v>133</v>
      </c>
      <c r="D116" s="156" t="s">
        <v>62</v>
      </c>
      <c r="E116" s="156" t="s">
        <v>138</v>
      </c>
      <c r="F116" s="157">
        <v>0</v>
      </c>
      <c r="G116" s="157">
        <v>21694482</v>
      </c>
      <c r="H116" s="156">
        <v>2782872.71</v>
      </c>
      <c r="I116" s="156">
        <v>54150.38</v>
      </c>
      <c r="J116" s="156">
        <v>0</v>
      </c>
      <c r="K116" s="156">
        <v>24136.17</v>
      </c>
      <c r="L116" s="156">
        <v>0</v>
      </c>
      <c r="M116" s="156">
        <v>0</v>
      </c>
      <c r="N116" s="156">
        <f t="shared" si="6"/>
        <v>24136.17</v>
      </c>
      <c r="O116" s="156">
        <v>0</v>
      </c>
      <c r="P116" s="156">
        <v>0</v>
      </c>
      <c r="Q116" s="156">
        <v>0</v>
      </c>
      <c r="R116" s="156">
        <v>0</v>
      </c>
      <c r="S116" s="156">
        <v>0</v>
      </c>
      <c r="T116" s="156">
        <v>0</v>
      </c>
      <c r="U116" s="156">
        <v>0</v>
      </c>
      <c r="V116" s="156">
        <v>0</v>
      </c>
      <c r="W116" s="156">
        <v>0</v>
      </c>
      <c r="X116" s="156">
        <v>0</v>
      </c>
      <c r="Y116" s="156">
        <v>0</v>
      </c>
      <c r="Z116" s="156">
        <v>8461.0300000000007</v>
      </c>
      <c r="AA116" s="156">
        <v>0</v>
      </c>
      <c r="AB116" s="156">
        <v>0</v>
      </c>
      <c r="AC116" s="156">
        <v>0</v>
      </c>
      <c r="AD116" s="156">
        <v>0</v>
      </c>
      <c r="AE116" s="156">
        <v>0</v>
      </c>
      <c r="AF116" s="156">
        <v>0</v>
      </c>
      <c r="AG116" s="156">
        <v>0</v>
      </c>
      <c r="AH116" s="156">
        <v>0</v>
      </c>
      <c r="AI116" s="156">
        <v>5642.23</v>
      </c>
      <c r="AJ116" s="156">
        <v>620</v>
      </c>
      <c r="AK116" s="156">
        <v>-554.95000000000005</v>
      </c>
      <c r="AL116" s="156">
        <v>17051.37</v>
      </c>
      <c r="AM116" s="156">
        <v>-111934.25</v>
      </c>
      <c r="AN116" s="156">
        <v>0</v>
      </c>
      <c r="AO116" s="156">
        <v>0</v>
      </c>
      <c r="AP116" s="156">
        <v>0</v>
      </c>
      <c r="AQ116" s="156">
        <v>0</v>
      </c>
      <c r="AR116" s="156">
        <v>-1664.67</v>
      </c>
      <c r="AS116" s="156">
        <v>-181944.72416611601</v>
      </c>
      <c r="AT116" s="156">
        <f t="shared" si="7"/>
        <v>2757686.0399999996</v>
      </c>
    </row>
    <row r="117" spans="1:46" ht="11.25" hidden="1" outlineLevel="3">
      <c r="A117" s="155" t="s">
        <v>152</v>
      </c>
      <c r="B117" s="155" t="s">
        <v>161</v>
      </c>
      <c r="C117" s="155" t="s">
        <v>133</v>
      </c>
      <c r="D117" s="156" t="s">
        <v>62</v>
      </c>
      <c r="E117" s="156" t="s">
        <v>138</v>
      </c>
      <c r="F117" s="157">
        <v>0</v>
      </c>
      <c r="G117" s="157">
        <v>18010</v>
      </c>
      <c r="H117" s="156">
        <v>2282.15</v>
      </c>
      <c r="I117" s="156">
        <v>46.03</v>
      </c>
      <c r="J117" s="156">
        <v>0</v>
      </c>
      <c r="K117" s="156">
        <v>27.8</v>
      </c>
      <c r="L117" s="156">
        <v>0</v>
      </c>
      <c r="M117" s="156">
        <v>0</v>
      </c>
      <c r="N117" s="156">
        <f t="shared" si="6"/>
        <v>27.8</v>
      </c>
      <c r="O117" s="156">
        <v>0</v>
      </c>
      <c r="P117" s="156">
        <v>0</v>
      </c>
      <c r="Q117" s="156">
        <v>0</v>
      </c>
      <c r="R117" s="156">
        <v>0</v>
      </c>
      <c r="S117" s="156">
        <v>0</v>
      </c>
      <c r="T117" s="156">
        <v>0</v>
      </c>
      <c r="U117" s="156">
        <v>0</v>
      </c>
      <c r="V117" s="156">
        <v>0</v>
      </c>
      <c r="W117" s="156">
        <v>0</v>
      </c>
      <c r="X117" s="156">
        <v>0</v>
      </c>
      <c r="Y117" s="156">
        <v>0</v>
      </c>
      <c r="Z117" s="156">
        <v>7.03</v>
      </c>
      <c r="AA117" s="156">
        <v>0</v>
      </c>
      <c r="AB117" s="156">
        <v>0</v>
      </c>
      <c r="AC117" s="156">
        <v>0</v>
      </c>
      <c r="AD117" s="156">
        <v>0</v>
      </c>
      <c r="AE117" s="156">
        <v>0</v>
      </c>
      <c r="AF117" s="156">
        <v>0</v>
      </c>
      <c r="AG117" s="156">
        <v>0</v>
      </c>
      <c r="AH117" s="156">
        <v>0</v>
      </c>
      <c r="AI117" s="156">
        <v>4.91</v>
      </c>
      <c r="AJ117" s="156">
        <v>20</v>
      </c>
      <c r="AK117" s="156">
        <v>0</v>
      </c>
      <c r="AL117" s="156">
        <v>0</v>
      </c>
      <c r="AM117" s="156">
        <v>-92.94</v>
      </c>
      <c r="AN117" s="156">
        <v>0</v>
      </c>
      <c r="AO117" s="156">
        <v>0</v>
      </c>
      <c r="AP117" s="156">
        <v>0</v>
      </c>
      <c r="AQ117" s="156">
        <v>0</v>
      </c>
      <c r="AR117" s="156">
        <v>0</v>
      </c>
      <c r="AS117" s="156">
        <v>0</v>
      </c>
      <c r="AT117" s="156">
        <f t="shared" si="7"/>
        <v>2270.0700000000006</v>
      </c>
    </row>
    <row r="118" spans="1:46" ht="11.25" hidden="1" outlineLevel="3">
      <c r="A118" s="155" t="s">
        <v>152</v>
      </c>
      <c r="B118" s="155" t="s">
        <v>159</v>
      </c>
      <c r="C118" s="155" t="s">
        <v>133</v>
      </c>
      <c r="D118" s="156" t="s">
        <v>62</v>
      </c>
      <c r="E118" s="156" t="s">
        <v>138</v>
      </c>
      <c r="F118" s="157">
        <v>0</v>
      </c>
      <c r="G118" s="157">
        <v>3072648</v>
      </c>
      <c r="H118" s="156">
        <v>444762.25</v>
      </c>
      <c r="I118" s="156">
        <v>11053.72</v>
      </c>
      <c r="J118" s="156">
        <v>0</v>
      </c>
      <c r="K118" s="156">
        <v>4774.04</v>
      </c>
      <c r="L118" s="156">
        <v>0</v>
      </c>
      <c r="M118" s="156">
        <v>0</v>
      </c>
      <c r="N118" s="156">
        <f t="shared" si="6"/>
        <v>4774.04</v>
      </c>
      <c r="O118" s="156">
        <v>0</v>
      </c>
      <c r="P118" s="156">
        <v>0</v>
      </c>
      <c r="Q118" s="156">
        <v>0</v>
      </c>
      <c r="R118" s="156">
        <v>0</v>
      </c>
      <c r="S118" s="156">
        <v>0</v>
      </c>
      <c r="T118" s="156">
        <v>0</v>
      </c>
      <c r="U118" s="156">
        <v>0</v>
      </c>
      <c r="V118" s="156">
        <v>0</v>
      </c>
      <c r="W118" s="156">
        <v>0</v>
      </c>
      <c r="X118" s="156">
        <v>0</v>
      </c>
      <c r="Y118" s="156">
        <v>0</v>
      </c>
      <c r="Z118" s="156">
        <v>1197.98</v>
      </c>
      <c r="AA118" s="156">
        <v>0</v>
      </c>
      <c r="AB118" s="156">
        <v>0</v>
      </c>
      <c r="AC118" s="156">
        <v>0</v>
      </c>
      <c r="AD118" s="156">
        <v>0</v>
      </c>
      <c r="AE118" s="156">
        <v>0</v>
      </c>
      <c r="AF118" s="156">
        <v>0</v>
      </c>
      <c r="AG118" s="156">
        <v>0</v>
      </c>
      <c r="AH118" s="156">
        <v>0</v>
      </c>
      <c r="AI118" s="156">
        <v>1478.96</v>
      </c>
      <c r="AJ118" s="156">
        <v>200</v>
      </c>
      <c r="AK118" s="156">
        <v>-79.48</v>
      </c>
      <c r="AL118" s="156">
        <v>3396.14</v>
      </c>
      <c r="AM118" s="156">
        <v>-15855.01</v>
      </c>
      <c r="AN118" s="156">
        <v>0</v>
      </c>
      <c r="AO118" s="156">
        <v>0</v>
      </c>
      <c r="AP118" s="156">
        <v>0</v>
      </c>
      <c r="AQ118" s="156">
        <v>0</v>
      </c>
      <c r="AR118" s="156">
        <v>-509.94</v>
      </c>
      <c r="AS118" s="156">
        <v>-50873.567335243497</v>
      </c>
      <c r="AT118" s="156">
        <f t="shared" si="7"/>
        <v>445932.97999999992</v>
      </c>
    </row>
    <row r="119" spans="1:46" ht="11.25" hidden="1" outlineLevel="3">
      <c r="A119" s="155" t="s">
        <v>152</v>
      </c>
      <c r="B119" s="155" t="s">
        <v>160</v>
      </c>
      <c r="C119" s="155" t="s">
        <v>133</v>
      </c>
      <c r="D119" s="156" t="s">
        <v>62</v>
      </c>
      <c r="E119" s="156" t="s">
        <v>138</v>
      </c>
      <c r="F119" s="157">
        <v>0</v>
      </c>
      <c r="G119" s="157">
        <v>24797810</v>
      </c>
      <c r="H119" s="156">
        <v>3089837.22</v>
      </c>
      <c r="I119" s="156">
        <v>93349.29</v>
      </c>
      <c r="J119" s="156">
        <v>0</v>
      </c>
      <c r="K119" s="156">
        <v>30223.37</v>
      </c>
      <c r="L119" s="156">
        <v>0</v>
      </c>
      <c r="M119" s="156">
        <v>0</v>
      </c>
      <c r="N119" s="156">
        <f t="shared" si="6"/>
        <v>30223.37</v>
      </c>
      <c r="O119" s="156">
        <v>0</v>
      </c>
      <c r="P119" s="156">
        <v>0</v>
      </c>
      <c r="Q119" s="156">
        <v>0</v>
      </c>
      <c r="R119" s="156">
        <v>0</v>
      </c>
      <c r="S119" s="156">
        <v>0</v>
      </c>
      <c r="T119" s="156">
        <v>0</v>
      </c>
      <c r="U119" s="156">
        <v>0</v>
      </c>
      <c r="V119" s="156">
        <v>0</v>
      </c>
      <c r="W119" s="156">
        <v>0</v>
      </c>
      <c r="X119" s="156">
        <v>0</v>
      </c>
      <c r="Y119" s="156">
        <v>0</v>
      </c>
      <c r="Z119" s="156">
        <v>9668.4500000000007</v>
      </c>
      <c r="AA119" s="156">
        <v>0</v>
      </c>
      <c r="AB119" s="156">
        <v>0</v>
      </c>
      <c r="AC119" s="156">
        <v>0</v>
      </c>
      <c r="AD119" s="156">
        <v>0</v>
      </c>
      <c r="AE119" s="156">
        <v>0</v>
      </c>
      <c r="AF119" s="156">
        <v>0</v>
      </c>
      <c r="AG119" s="156">
        <v>0</v>
      </c>
      <c r="AH119" s="156">
        <v>0</v>
      </c>
      <c r="AI119" s="156">
        <v>6873.91</v>
      </c>
      <c r="AJ119" s="156">
        <v>780</v>
      </c>
      <c r="AK119" s="156">
        <v>-621.28</v>
      </c>
      <c r="AL119" s="156">
        <v>18468.97</v>
      </c>
      <c r="AM119" s="156">
        <v>-127931.54</v>
      </c>
      <c r="AN119" s="156">
        <v>0</v>
      </c>
      <c r="AO119" s="156">
        <v>0</v>
      </c>
      <c r="AP119" s="156">
        <v>0</v>
      </c>
      <c r="AQ119" s="156">
        <v>0</v>
      </c>
      <c r="AR119" s="156">
        <v>-2924.38</v>
      </c>
      <c r="AS119" s="156">
        <v>-285420.88384395</v>
      </c>
      <c r="AT119" s="156">
        <f t="shared" si="7"/>
        <v>3095146.7900000005</v>
      </c>
    </row>
    <row r="120" spans="1:46" ht="11.25" hidden="1" outlineLevel="3">
      <c r="A120" s="155" t="s">
        <v>167</v>
      </c>
      <c r="B120" s="155" t="s">
        <v>146</v>
      </c>
      <c r="C120" s="155" t="s">
        <v>133</v>
      </c>
      <c r="D120" s="156" t="s">
        <v>62</v>
      </c>
      <c r="E120" s="156" t="s">
        <v>138</v>
      </c>
      <c r="F120" s="157">
        <v>0</v>
      </c>
      <c r="G120" s="157">
        <v>2876611</v>
      </c>
      <c r="H120" s="156">
        <v>247540.45</v>
      </c>
      <c r="I120" s="156">
        <v>8855.2099999999991</v>
      </c>
      <c r="J120" s="156">
        <v>79014.539999999994</v>
      </c>
      <c r="K120" s="156">
        <v>0</v>
      </c>
      <c r="L120" s="156">
        <v>0</v>
      </c>
      <c r="M120" s="156">
        <v>0</v>
      </c>
      <c r="N120" s="156">
        <f t="shared" si="6"/>
        <v>79014.539999999994</v>
      </c>
      <c r="O120" s="156">
        <v>0</v>
      </c>
      <c r="P120" s="156">
        <v>0</v>
      </c>
      <c r="Q120" s="156">
        <v>0</v>
      </c>
      <c r="R120" s="156">
        <v>0</v>
      </c>
      <c r="S120" s="156">
        <v>0</v>
      </c>
      <c r="T120" s="156">
        <v>0</v>
      </c>
      <c r="U120" s="156">
        <v>0</v>
      </c>
      <c r="V120" s="156">
        <v>0</v>
      </c>
      <c r="W120" s="156">
        <v>0</v>
      </c>
      <c r="X120" s="156">
        <v>2877.72</v>
      </c>
      <c r="Y120" s="156">
        <v>0</v>
      </c>
      <c r="Z120" s="156">
        <v>0</v>
      </c>
      <c r="AA120" s="156">
        <v>0</v>
      </c>
      <c r="AB120" s="156">
        <v>0</v>
      </c>
      <c r="AC120" s="156">
        <v>0</v>
      </c>
      <c r="AD120" s="156">
        <v>0</v>
      </c>
      <c r="AE120" s="156">
        <v>0</v>
      </c>
      <c r="AF120" s="156">
        <v>0</v>
      </c>
      <c r="AG120" s="156">
        <v>0</v>
      </c>
      <c r="AH120" s="156">
        <v>0</v>
      </c>
      <c r="AI120" s="156">
        <v>2144.4899999999998</v>
      </c>
      <c r="AJ120" s="156">
        <v>32</v>
      </c>
      <c r="AK120" s="156">
        <v>-50.12</v>
      </c>
      <c r="AL120" s="156">
        <v>12266.02</v>
      </c>
      <c r="AM120" s="156">
        <v>-39726.080000000002</v>
      </c>
      <c r="AN120" s="156">
        <v>0</v>
      </c>
      <c r="AO120" s="156">
        <v>0</v>
      </c>
      <c r="AP120" s="156">
        <v>0</v>
      </c>
      <c r="AQ120" s="156">
        <v>0</v>
      </c>
      <c r="AR120" s="156">
        <v>0</v>
      </c>
      <c r="AS120" s="156">
        <v>0</v>
      </c>
      <c r="AT120" s="156">
        <f t="shared" si="7"/>
        <v>298561.83999999997</v>
      </c>
    </row>
    <row r="121" spans="1:46" ht="11.25" hidden="1" outlineLevel="3">
      <c r="A121" s="155" t="s">
        <v>167</v>
      </c>
      <c r="B121" s="155" t="s">
        <v>132</v>
      </c>
      <c r="C121" s="155" t="s">
        <v>133</v>
      </c>
      <c r="D121" s="156" t="s">
        <v>62</v>
      </c>
      <c r="E121" s="156" t="s">
        <v>138</v>
      </c>
      <c r="F121" s="157">
        <v>0</v>
      </c>
      <c r="G121" s="157">
        <v>8606</v>
      </c>
      <c r="H121" s="156">
        <v>751.72</v>
      </c>
      <c r="I121" s="156">
        <v>0</v>
      </c>
      <c r="J121" s="156">
        <v>236.39</v>
      </c>
      <c r="K121" s="156">
        <v>0</v>
      </c>
      <c r="L121" s="156">
        <v>0</v>
      </c>
      <c r="M121" s="156">
        <v>0</v>
      </c>
      <c r="N121" s="156">
        <f t="shared" si="6"/>
        <v>236.39</v>
      </c>
      <c r="O121" s="156">
        <v>0</v>
      </c>
      <c r="P121" s="156">
        <v>0</v>
      </c>
      <c r="Q121" s="156">
        <v>0</v>
      </c>
      <c r="R121" s="156">
        <v>0</v>
      </c>
      <c r="S121" s="156">
        <v>0</v>
      </c>
      <c r="T121" s="156">
        <v>0</v>
      </c>
      <c r="U121" s="156">
        <v>0</v>
      </c>
      <c r="V121" s="156">
        <v>0</v>
      </c>
      <c r="W121" s="156">
        <v>0</v>
      </c>
      <c r="X121" s="156">
        <v>8.61</v>
      </c>
      <c r="Y121" s="156">
        <v>0</v>
      </c>
      <c r="Z121" s="156">
        <v>0</v>
      </c>
      <c r="AA121" s="156">
        <v>0</v>
      </c>
      <c r="AB121" s="156">
        <v>0</v>
      </c>
      <c r="AC121" s="156">
        <v>0</v>
      </c>
      <c r="AD121" s="156">
        <v>0</v>
      </c>
      <c r="AE121" s="156">
        <v>0</v>
      </c>
      <c r="AF121" s="156">
        <v>0</v>
      </c>
      <c r="AG121" s="156">
        <v>0</v>
      </c>
      <c r="AH121" s="156">
        <v>0</v>
      </c>
      <c r="AI121" s="156">
        <v>10.57</v>
      </c>
      <c r="AJ121" s="156">
        <v>0</v>
      </c>
      <c r="AK121" s="156">
        <v>0</v>
      </c>
      <c r="AL121" s="156">
        <v>13.96</v>
      </c>
      <c r="AM121" s="156">
        <v>-118.85</v>
      </c>
      <c r="AN121" s="156">
        <v>0</v>
      </c>
      <c r="AO121" s="156">
        <v>0</v>
      </c>
      <c r="AP121" s="156">
        <v>0</v>
      </c>
      <c r="AQ121" s="156">
        <v>0</v>
      </c>
      <c r="AR121" s="156">
        <v>0</v>
      </c>
      <c r="AS121" s="156">
        <v>0</v>
      </c>
      <c r="AT121" s="156">
        <f t="shared" si="7"/>
        <v>877.87</v>
      </c>
    </row>
    <row r="122" spans="1:46" ht="11.25" hidden="1" outlineLevel="3">
      <c r="A122" s="155" t="s">
        <v>167</v>
      </c>
      <c r="B122" s="155" t="s">
        <v>137</v>
      </c>
      <c r="C122" s="155" t="s">
        <v>133</v>
      </c>
      <c r="D122" s="156" t="s">
        <v>62</v>
      </c>
      <c r="E122" s="156" t="s">
        <v>138</v>
      </c>
      <c r="F122" s="157">
        <v>0</v>
      </c>
      <c r="G122" s="157">
        <v>10311</v>
      </c>
      <c r="H122" s="156">
        <v>823.12</v>
      </c>
      <c r="I122" s="156">
        <v>0</v>
      </c>
      <c r="J122" s="156">
        <v>283.22000000000003</v>
      </c>
      <c r="K122" s="156">
        <v>0</v>
      </c>
      <c r="L122" s="156">
        <v>0</v>
      </c>
      <c r="M122" s="156">
        <v>0</v>
      </c>
      <c r="N122" s="156">
        <f t="shared" si="6"/>
        <v>283.22000000000003</v>
      </c>
      <c r="O122" s="156">
        <v>0</v>
      </c>
      <c r="P122" s="156">
        <v>0</v>
      </c>
      <c r="Q122" s="156">
        <v>0</v>
      </c>
      <c r="R122" s="156">
        <v>0</v>
      </c>
      <c r="S122" s="156">
        <v>0</v>
      </c>
      <c r="T122" s="156">
        <v>0</v>
      </c>
      <c r="U122" s="156">
        <v>0</v>
      </c>
      <c r="V122" s="156">
        <v>0</v>
      </c>
      <c r="W122" s="156">
        <v>0</v>
      </c>
      <c r="X122" s="156">
        <v>10.31</v>
      </c>
      <c r="Y122" s="156">
        <v>0</v>
      </c>
      <c r="Z122" s="156">
        <v>0</v>
      </c>
      <c r="AA122" s="156">
        <v>0</v>
      </c>
      <c r="AB122" s="156">
        <v>0</v>
      </c>
      <c r="AC122" s="156">
        <v>0</v>
      </c>
      <c r="AD122" s="156">
        <v>0</v>
      </c>
      <c r="AE122" s="156">
        <v>0</v>
      </c>
      <c r="AF122" s="156">
        <v>0</v>
      </c>
      <c r="AG122" s="156">
        <v>0</v>
      </c>
      <c r="AH122" s="156">
        <v>0</v>
      </c>
      <c r="AI122" s="156">
        <v>11.68</v>
      </c>
      <c r="AJ122" s="156">
        <v>0</v>
      </c>
      <c r="AK122" s="156">
        <v>0</v>
      </c>
      <c r="AL122" s="156">
        <v>15.12</v>
      </c>
      <c r="AM122" s="156">
        <v>-142.4</v>
      </c>
      <c r="AN122" s="156">
        <v>0</v>
      </c>
      <c r="AO122" s="156">
        <v>0</v>
      </c>
      <c r="AP122" s="156">
        <v>0</v>
      </c>
      <c r="AQ122" s="156">
        <v>0</v>
      </c>
      <c r="AR122" s="156">
        <v>0</v>
      </c>
      <c r="AS122" s="156">
        <v>0</v>
      </c>
      <c r="AT122" s="156">
        <f t="shared" si="7"/>
        <v>974.25000000000011</v>
      </c>
    </row>
    <row r="123" spans="1:46" ht="11.25" hidden="1" outlineLevel="3">
      <c r="A123" s="155" t="s">
        <v>152</v>
      </c>
      <c r="D123" s="156" t="s">
        <v>62</v>
      </c>
      <c r="E123" s="156" t="s">
        <v>138</v>
      </c>
      <c r="F123" s="157">
        <v>0</v>
      </c>
      <c r="G123" s="157">
        <v>-98284</v>
      </c>
      <c r="H123" s="156">
        <v>-10398.56</v>
      </c>
      <c r="I123" s="156">
        <v>0</v>
      </c>
      <c r="J123" s="156">
        <v>0</v>
      </c>
      <c r="K123" s="156">
        <v>74.989999999999995</v>
      </c>
      <c r="L123" s="156">
        <v>0</v>
      </c>
      <c r="M123" s="156">
        <v>0</v>
      </c>
      <c r="N123" s="156">
        <f t="shared" si="6"/>
        <v>74.989999999999995</v>
      </c>
      <c r="O123" s="156">
        <v>0</v>
      </c>
      <c r="P123" s="156">
        <v>0</v>
      </c>
      <c r="Q123" s="156">
        <v>0</v>
      </c>
      <c r="R123" s="156">
        <v>0</v>
      </c>
      <c r="S123" s="156">
        <v>0</v>
      </c>
      <c r="T123" s="156">
        <v>0</v>
      </c>
      <c r="U123" s="156">
        <v>0</v>
      </c>
      <c r="V123" s="156">
        <v>0</v>
      </c>
      <c r="W123" s="156">
        <v>0</v>
      </c>
      <c r="X123" s="156">
        <v>0</v>
      </c>
      <c r="Y123" s="156">
        <v>0</v>
      </c>
      <c r="Z123" s="156">
        <v>-38.33</v>
      </c>
      <c r="AA123" s="156">
        <v>0</v>
      </c>
      <c r="AB123" s="156">
        <v>0</v>
      </c>
      <c r="AC123" s="156">
        <v>0</v>
      </c>
      <c r="AD123" s="156">
        <v>0</v>
      </c>
      <c r="AE123" s="156">
        <v>0</v>
      </c>
      <c r="AF123" s="156">
        <v>0</v>
      </c>
      <c r="AG123" s="156">
        <v>0</v>
      </c>
      <c r="AH123" s="156">
        <v>0</v>
      </c>
      <c r="AI123" s="156">
        <v>0</v>
      </c>
      <c r="AJ123" s="156">
        <v>0</v>
      </c>
      <c r="AK123" s="156">
        <v>0</v>
      </c>
      <c r="AL123" s="156">
        <v>0</v>
      </c>
      <c r="AM123" s="156">
        <v>507.15</v>
      </c>
      <c r="AN123" s="156">
        <v>0</v>
      </c>
      <c r="AO123" s="156">
        <v>0</v>
      </c>
      <c r="AP123" s="156">
        <v>0</v>
      </c>
      <c r="AQ123" s="156">
        <v>0</v>
      </c>
      <c r="AR123" s="156">
        <v>0</v>
      </c>
      <c r="AS123" s="156">
        <v>0</v>
      </c>
      <c r="AT123" s="156">
        <f t="shared" si="7"/>
        <v>-9854.75</v>
      </c>
    </row>
    <row r="124" spans="1:46" ht="11.25" outlineLevel="2" collapsed="1">
      <c r="D124" s="156"/>
      <c r="E124" s="156" t="s">
        <v>214</v>
      </c>
      <c r="F124" s="157">
        <v>143671</v>
      </c>
      <c r="G124" s="157">
        <f t="shared" ref="G124:AT124" si="8">SUBTOTAL(9,G25:G123)</f>
        <v>166578616</v>
      </c>
      <c r="H124" s="156">
        <f t="shared" si="8"/>
        <v>20667642.279999997</v>
      </c>
      <c r="I124" s="156">
        <f t="shared" si="8"/>
        <v>584423.55000000005</v>
      </c>
      <c r="J124" s="156">
        <f t="shared" si="8"/>
        <v>79534.149999999994</v>
      </c>
      <c r="K124" s="156">
        <f t="shared" si="8"/>
        <v>224598.78999999995</v>
      </c>
      <c r="L124" s="156">
        <f t="shared" si="8"/>
        <v>105264.43</v>
      </c>
      <c r="M124" s="156">
        <f t="shared" si="8"/>
        <v>143780.01</v>
      </c>
      <c r="N124" s="156">
        <f t="shared" si="8"/>
        <v>553177.38</v>
      </c>
      <c r="O124" s="156">
        <f t="shared" si="8"/>
        <v>14358.410000000002</v>
      </c>
      <c r="P124" s="156">
        <f t="shared" si="8"/>
        <v>19870</v>
      </c>
      <c r="Q124" s="156">
        <f t="shared" si="8"/>
        <v>6899.8</v>
      </c>
      <c r="R124" s="156">
        <f t="shared" si="8"/>
        <v>0</v>
      </c>
      <c r="S124" s="156">
        <f t="shared" si="8"/>
        <v>0</v>
      </c>
      <c r="T124" s="156">
        <f t="shared" si="8"/>
        <v>0</v>
      </c>
      <c r="U124" s="156">
        <f t="shared" si="8"/>
        <v>0</v>
      </c>
      <c r="V124" s="156">
        <f t="shared" si="8"/>
        <v>0</v>
      </c>
      <c r="W124" s="156">
        <f t="shared" si="8"/>
        <v>0</v>
      </c>
      <c r="X124" s="156">
        <f t="shared" si="8"/>
        <v>2896.64</v>
      </c>
      <c r="Y124" s="156">
        <f t="shared" si="8"/>
        <v>7220.0999999999995</v>
      </c>
      <c r="Z124" s="156">
        <f t="shared" si="8"/>
        <v>60470.14</v>
      </c>
      <c r="AA124" s="156">
        <f t="shared" si="8"/>
        <v>13464.75</v>
      </c>
      <c r="AB124" s="156">
        <f t="shared" si="8"/>
        <v>0</v>
      </c>
      <c r="AC124" s="156">
        <f t="shared" si="8"/>
        <v>0</v>
      </c>
      <c r="AD124" s="156">
        <f t="shared" si="8"/>
        <v>0</v>
      </c>
      <c r="AE124" s="156">
        <f t="shared" si="8"/>
        <v>0</v>
      </c>
      <c r="AF124" s="156">
        <f t="shared" si="8"/>
        <v>0</v>
      </c>
      <c r="AG124" s="156">
        <f t="shared" si="8"/>
        <v>0</v>
      </c>
      <c r="AH124" s="156">
        <f t="shared" si="8"/>
        <v>0</v>
      </c>
      <c r="AI124" s="156">
        <f t="shared" si="8"/>
        <v>52650.159999999996</v>
      </c>
      <c r="AJ124" s="156">
        <f t="shared" si="8"/>
        <v>4602</v>
      </c>
      <c r="AK124" s="156">
        <f t="shared" si="8"/>
        <v>-4941.25</v>
      </c>
      <c r="AL124" s="156">
        <f t="shared" si="8"/>
        <v>237981.8</v>
      </c>
      <c r="AM124" s="156">
        <f t="shared" si="8"/>
        <v>-905595.73</v>
      </c>
      <c r="AN124" s="156">
        <f t="shared" si="8"/>
        <v>0</v>
      </c>
      <c r="AO124" s="156">
        <f t="shared" si="8"/>
        <v>65574.680000000008</v>
      </c>
      <c r="AP124" s="156">
        <f t="shared" si="8"/>
        <v>0</v>
      </c>
      <c r="AQ124" s="156">
        <f t="shared" si="8"/>
        <v>0</v>
      </c>
      <c r="AR124" s="156">
        <f t="shared" si="8"/>
        <v>-17685.190000000002</v>
      </c>
      <c r="AS124" s="156">
        <f t="shared" si="8"/>
        <v>-2360400.1464233911</v>
      </c>
      <c r="AT124" s="156">
        <f t="shared" si="8"/>
        <v>21090402</v>
      </c>
    </row>
    <row r="125" spans="1:46" ht="11.25" hidden="1" outlineLevel="3">
      <c r="A125" s="155" t="s">
        <v>152</v>
      </c>
      <c r="B125" s="155" t="s">
        <v>153</v>
      </c>
      <c r="C125" s="155" t="s">
        <v>133</v>
      </c>
      <c r="D125" s="156" t="s">
        <v>62</v>
      </c>
      <c r="E125" s="156" t="s">
        <v>162</v>
      </c>
      <c r="F125" s="157">
        <v>0</v>
      </c>
      <c r="G125" s="157">
        <v>115056</v>
      </c>
      <c r="H125" s="156">
        <v>13237.93</v>
      </c>
      <c r="I125" s="156">
        <v>517.91999999999996</v>
      </c>
      <c r="J125" s="156">
        <v>0</v>
      </c>
      <c r="K125" s="156">
        <v>171.93</v>
      </c>
      <c r="L125" s="156">
        <v>0</v>
      </c>
      <c r="M125" s="156">
        <v>0</v>
      </c>
      <c r="N125" s="156">
        <f t="shared" ref="N125:N133" si="9">J125+K125+L125+M125</f>
        <v>171.93</v>
      </c>
      <c r="O125" s="156">
        <v>0</v>
      </c>
      <c r="P125" s="156">
        <v>0</v>
      </c>
      <c r="Q125" s="156">
        <v>0</v>
      </c>
      <c r="R125" s="156">
        <v>0</v>
      </c>
      <c r="S125" s="156">
        <v>0</v>
      </c>
      <c r="T125" s="156">
        <v>0</v>
      </c>
      <c r="U125" s="156">
        <v>0</v>
      </c>
      <c r="V125" s="156">
        <v>0</v>
      </c>
      <c r="W125" s="156">
        <v>0</v>
      </c>
      <c r="X125" s="156">
        <v>0</v>
      </c>
      <c r="Y125" s="156">
        <v>0</v>
      </c>
      <c r="Z125" s="156">
        <v>44.86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F125" s="156">
        <v>0</v>
      </c>
      <c r="AG125" s="156">
        <v>0</v>
      </c>
      <c r="AH125" s="156">
        <v>0</v>
      </c>
      <c r="AI125" s="156">
        <v>18.39</v>
      </c>
      <c r="AJ125" s="156">
        <v>20</v>
      </c>
      <c r="AK125" s="156">
        <v>0</v>
      </c>
      <c r="AL125" s="156">
        <v>138.65</v>
      </c>
      <c r="AM125" s="156">
        <v>-593.70000000000005</v>
      </c>
      <c r="AN125" s="156">
        <v>0</v>
      </c>
      <c r="AO125" s="156">
        <v>0</v>
      </c>
      <c r="AP125" s="156">
        <v>0</v>
      </c>
      <c r="AQ125" s="156">
        <v>0</v>
      </c>
      <c r="AR125" s="156">
        <v>0</v>
      </c>
      <c r="AS125" s="156">
        <v>0</v>
      </c>
      <c r="AT125" s="156">
        <f t="shared" ref="AT125:AT133" si="10">H125+I125+N125+O125+P125+Q125+T125+X125+Y125+Z125+AA125+AB125+AM125+AO125</f>
        <v>13378.94</v>
      </c>
    </row>
    <row r="126" spans="1:46" ht="11.25" hidden="1" outlineLevel="3">
      <c r="A126" s="155" t="s">
        <v>152</v>
      </c>
      <c r="B126" s="155" t="s">
        <v>154</v>
      </c>
      <c r="C126" s="155" t="s">
        <v>133</v>
      </c>
      <c r="D126" s="156" t="s">
        <v>62</v>
      </c>
      <c r="E126" s="156" t="s">
        <v>162</v>
      </c>
      <c r="F126" s="157">
        <v>0</v>
      </c>
      <c r="G126" s="157">
        <v>200971</v>
      </c>
      <c r="H126" s="156">
        <v>23288.240000000002</v>
      </c>
      <c r="I126" s="156">
        <v>597.34</v>
      </c>
      <c r="J126" s="156">
        <v>0</v>
      </c>
      <c r="K126" s="156">
        <v>418.19</v>
      </c>
      <c r="L126" s="156">
        <v>0</v>
      </c>
      <c r="M126" s="156">
        <v>0</v>
      </c>
      <c r="N126" s="156">
        <f t="shared" si="9"/>
        <v>418.19</v>
      </c>
      <c r="O126" s="156">
        <v>0</v>
      </c>
      <c r="P126" s="156">
        <v>0</v>
      </c>
      <c r="Q126" s="156">
        <v>0</v>
      </c>
      <c r="R126" s="156">
        <v>0</v>
      </c>
      <c r="S126" s="156">
        <v>0</v>
      </c>
      <c r="T126" s="156">
        <v>0</v>
      </c>
      <c r="U126" s="156">
        <v>0</v>
      </c>
      <c r="V126" s="156">
        <v>0</v>
      </c>
      <c r="W126" s="156">
        <v>0</v>
      </c>
      <c r="X126" s="156">
        <v>0</v>
      </c>
      <c r="Y126" s="156">
        <v>0</v>
      </c>
      <c r="Z126" s="156">
        <v>78.39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F126" s="156">
        <v>0</v>
      </c>
      <c r="AG126" s="156">
        <v>0</v>
      </c>
      <c r="AH126" s="156">
        <v>0</v>
      </c>
      <c r="AI126" s="156">
        <v>22.12</v>
      </c>
      <c r="AJ126" s="156">
        <v>0</v>
      </c>
      <c r="AK126" s="156">
        <v>0</v>
      </c>
      <c r="AL126" s="156">
        <v>555.98</v>
      </c>
      <c r="AM126" s="156">
        <v>-1036.99</v>
      </c>
      <c r="AN126" s="156">
        <v>0</v>
      </c>
      <c r="AO126" s="156">
        <v>0</v>
      </c>
      <c r="AP126" s="156">
        <v>0</v>
      </c>
      <c r="AQ126" s="156">
        <v>0</v>
      </c>
      <c r="AR126" s="156">
        <v>0</v>
      </c>
      <c r="AS126" s="156">
        <v>0</v>
      </c>
      <c r="AT126" s="156">
        <f t="shared" si="10"/>
        <v>23345.17</v>
      </c>
    </row>
    <row r="127" spans="1:46" ht="11.25" hidden="1" outlineLevel="3">
      <c r="A127" s="155" t="s">
        <v>152</v>
      </c>
      <c r="B127" s="155" t="s">
        <v>155</v>
      </c>
      <c r="C127" s="155" t="s">
        <v>133</v>
      </c>
      <c r="D127" s="156" t="s">
        <v>62</v>
      </c>
      <c r="E127" s="156" t="s">
        <v>162</v>
      </c>
      <c r="F127" s="157">
        <v>0</v>
      </c>
      <c r="G127" s="157">
        <v>160733</v>
      </c>
      <c r="H127" s="156">
        <v>18780.29</v>
      </c>
      <c r="I127" s="156">
        <v>297.45</v>
      </c>
      <c r="J127" s="156">
        <v>0</v>
      </c>
      <c r="K127" s="156">
        <v>147.16999999999999</v>
      </c>
      <c r="L127" s="156">
        <v>0</v>
      </c>
      <c r="M127" s="156">
        <v>0</v>
      </c>
      <c r="N127" s="156">
        <f t="shared" si="9"/>
        <v>147.16999999999999</v>
      </c>
      <c r="O127" s="156">
        <v>0</v>
      </c>
      <c r="P127" s="156">
        <v>0</v>
      </c>
      <c r="Q127" s="156">
        <v>0</v>
      </c>
      <c r="R127" s="156">
        <v>0</v>
      </c>
      <c r="S127" s="156">
        <v>0</v>
      </c>
      <c r="T127" s="156">
        <v>0</v>
      </c>
      <c r="U127" s="156">
        <v>0</v>
      </c>
      <c r="V127" s="156">
        <v>0</v>
      </c>
      <c r="W127" s="156">
        <v>0</v>
      </c>
      <c r="X127" s="156">
        <v>0</v>
      </c>
      <c r="Y127" s="156">
        <v>0</v>
      </c>
      <c r="Z127" s="156">
        <v>62.66</v>
      </c>
      <c r="AA127" s="156">
        <v>0</v>
      </c>
      <c r="AB127" s="156">
        <v>0</v>
      </c>
      <c r="AC127" s="156">
        <v>0</v>
      </c>
      <c r="AD127" s="156">
        <v>0</v>
      </c>
      <c r="AE127" s="156">
        <v>0</v>
      </c>
      <c r="AF127" s="156">
        <v>0</v>
      </c>
      <c r="AG127" s="156">
        <v>0</v>
      </c>
      <c r="AH127" s="156">
        <v>0</v>
      </c>
      <c r="AI127" s="156">
        <v>23.46</v>
      </c>
      <c r="AJ127" s="156">
        <v>0</v>
      </c>
      <c r="AK127" s="156">
        <v>0</v>
      </c>
      <c r="AL127" s="156">
        <v>117.02</v>
      </c>
      <c r="AM127" s="156">
        <v>-829.36</v>
      </c>
      <c r="AN127" s="156">
        <v>0</v>
      </c>
      <c r="AO127" s="156">
        <v>0</v>
      </c>
      <c r="AP127" s="156">
        <v>0</v>
      </c>
      <c r="AQ127" s="156">
        <v>0</v>
      </c>
      <c r="AR127" s="156">
        <v>0</v>
      </c>
      <c r="AS127" s="156">
        <v>0</v>
      </c>
      <c r="AT127" s="156">
        <f t="shared" si="10"/>
        <v>18458.21</v>
      </c>
    </row>
    <row r="128" spans="1:46" ht="11.25" hidden="1" outlineLevel="3">
      <c r="A128" s="155" t="s">
        <v>152</v>
      </c>
      <c r="B128" s="155" t="s">
        <v>157</v>
      </c>
      <c r="C128" s="155" t="s">
        <v>133</v>
      </c>
      <c r="D128" s="156" t="s">
        <v>62</v>
      </c>
      <c r="E128" s="156" t="s">
        <v>162</v>
      </c>
      <c r="F128" s="157">
        <v>0</v>
      </c>
      <c r="G128" s="157">
        <v>145355</v>
      </c>
      <c r="H128" s="156">
        <v>16937.09</v>
      </c>
      <c r="I128" s="156">
        <v>802.82</v>
      </c>
      <c r="J128" s="156">
        <v>0</v>
      </c>
      <c r="K128" s="156">
        <v>231.88</v>
      </c>
      <c r="L128" s="156">
        <v>0</v>
      </c>
      <c r="M128" s="156">
        <v>0</v>
      </c>
      <c r="N128" s="156">
        <f t="shared" si="9"/>
        <v>231.88</v>
      </c>
      <c r="O128" s="156">
        <v>0</v>
      </c>
      <c r="P128" s="156">
        <v>0</v>
      </c>
      <c r="Q128" s="156">
        <v>0</v>
      </c>
      <c r="R128" s="156">
        <v>0</v>
      </c>
      <c r="S128" s="156">
        <v>0</v>
      </c>
      <c r="T128" s="156">
        <v>0</v>
      </c>
      <c r="U128" s="156">
        <v>0</v>
      </c>
      <c r="V128" s="156">
        <v>0</v>
      </c>
      <c r="W128" s="156">
        <v>0</v>
      </c>
      <c r="X128" s="156">
        <v>0</v>
      </c>
      <c r="Y128" s="156">
        <v>0</v>
      </c>
      <c r="Z128" s="156">
        <v>56.7</v>
      </c>
      <c r="AA128" s="156">
        <v>0</v>
      </c>
      <c r="AB128" s="156">
        <v>0</v>
      </c>
      <c r="AC128" s="156">
        <v>0</v>
      </c>
      <c r="AD128" s="156">
        <v>0</v>
      </c>
      <c r="AE128" s="156">
        <v>0</v>
      </c>
      <c r="AF128" s="156">
        <v>0</v>
      </c>
      <c r="AG128" s="156">
        <v>0</v>
      </c>
      <c r="AH128" s="156">
        <v>0</v>
      </c>
      <c r="AI128" s="156">
        <v>24.81</v>
      </c>
      <c r="AJ128" s="156">
        <v>0</v>
      </c>
      <c r="AK128" s="156">
        <v>0</v>
      </c>
      <c r="AL128" s="156">
        <v>22.09</v>
      </c>
      <c r="AM128" s="156">
        <v>-750.03</v>
      </c>
      <c r="AN128" s="156">
        <v>0</v>
      </c>
      <c r="AO128" s="156">
        <v>0</v>
      </c>
      <c r="AP128" s="156">
        <v>0</v>
      </c>
      <c r="AQ128" s="156">
        <v>0</v>
      </c>
      <c r="AR128" s="156">
        <v>0</v>
      </c>
      <c r="AS128" s="156">
        <v>0</v>
      </c>
      <c r="AT128" s="156">
        <f t="shared" si="10"/>
        <v>17278.460000000003</v>
      </c>
    </row>
    <row r="129" spans="1:46" ht="11.25" hidden="1" outlineLevel="3">
      <c r="A129" s="155" t="s">
        <v>152</v>
      </c>
      <c r="B129" s="155" t="s">
        <v>137</v>
      </c>
      <c r="C129" s="155" t="s">
        <v>133</v>
      </c>
      <c r="D129" s="156" t="s">
        <v>62</v>
      </c>
      <c r="E129" s="156" t="s">
        <v>162</v>
      </c>
      <c r="F129" s="157">
        <v>0</v>
      </c>
      <c r="G129" s="157">
        <v>85406</v>
      </c>
      <c r="H129" s="156">
        <v>9870.5</v>
      </c>
      <c r="I129" s="156">
        <v>249.08</v>
      </c>
      <c r="J129" s="156">
        <v>0</v>
      </c>
      <c r="K129" s="156">
        <v>87.87</v>
      </c>
      <c r="L129" s="156">
        <v>0</v>
      </c>
      <c r="M129" s="156">
        <v>0</v>
      </c>
      <c r="N129" s="156">
        <f t="shared" si="9"/>
        <v>87.87</v>
      </c>
      <c r="O129" s="156">
        <v>0</v>
      </c>
      <c r="P129" s="156">
        <v>0</v>
      </c>
      <c r="Q129" s="156">
        <v>0</v>
      </c>
      <c r="R129" s="156">
        <v>0</v>
      </c>
      <c r="S129" s="156">
        <v>0</v>
      </c>
      <c r="T129" s="156">
        <v>0</v>
      </c>
      <c r="U129" s="156">
        <v>0</v>
      </c>
      <c r="V129" s="156">
        <v>0</v>
      </c>
      <c r="W129" s="156">
        <v>0</v>
      </c>
      <c r="X129" s="156">
        <v>0</v>
      </c>
      <c r="Y129" s="156">
        <v>0</v>
      </c>
      <c r="Z129" s="156">
        <v>33.28</v>
      </c>
      <c r="AA129" s="156">
        <v>0</v>
      </c>
      <c r="AB129" s="156">
        <v>0</v>
      </c>
      <c r="AC129" s="156">
        <v>0</v>
      </c>
      <c r="AD129" s="156">
        <v>0</v>
      </c>
      <c r="AE129" s="156">
        <v>0</v>
      </c>
      <c r="AF129" s="156">
        <v>0</v>
      </c>
      <c r="AG129" s="156">
        <v>0</v>
      </c>
      <c r="AH129" s="156">
        <v>0</v>
      </c>
      <c r="AI129" s="156">
        <v>16.29</v>
      </c>
      <c r="AJ129" s="156">
        <v>0</v>
      </c>
      <c r="AK129" s="156">
        <v>0</v>
      </c>
      <c r="AL129" s="156">
        <v>189.67</v>
      </c>
      <c r="AM129" s="156">
        <v>-440.7</v>
      </c>
      <c r="AN129" s="156">
        <v>0</v>
      </c>
      <c r="AO129" s="156">
        <v>0</v>
      </c>
      <c r="AP129" s="156">
        <v>0</v>
      </c>
      <c r="AQ129" s="156">
        <v>0</v>
      </c>
      <c r="AR129" s="156">
        <v>0</v>
      </c>
      <c r="AS129" s="156">
        <v>0</v>
      </c>
      <c r="AT129" s="156">
        <f t="shared" si="10"/>
        <v>9800.0300000000007</v>
      </c>
    </row>
    <row r="130" spans="1:46" ht="11.25" hidden="1" outlineLevel="3">
      <c r="A130" s="155" t="s">
        <v>152</v>
      </c>
      <c r="B130" s="155" t="s">
        <v>158</v>
      </c>
      <c r="C130" s="155" t="s">
        <v>133</v>
      </c>
      <c r="D130" s="156" t="s">
        <v>62</v>
      </c>
      <c r="E130" s="156" t="s">
        <v>162</v>
      </c>
      <c r="F130" s="157">
        <v>0</v>
      </c>
      <c r="G130" s="157">
        <v>82749</v>
      </c>
      <c r="H130" s="156">
        <v>9613.1299999999992</v>
      </c>
      <c r="I130" s="156">
        <v>232.18</v>
      </c>
      <c r="J130" s="156">
        <v>0</v>
      </c>
      <c r="K130" s="156">
        <v>112.91</v>
      </c>
      <c r="L130" s="156">
        <v>0</v>
      </c>
      <c r="M130" s="156">
        <v>0</v>
      </c>
      <c r="N130" s="156">
        <f t="shared" si="9"/>
        <v>112.91</v>
      </c>
      <c r="O130" s="156">
        <v>0</v>
      </c>
      <c r="P130" s="156">
        <v>0</v>
      </c>
      <c r="Q130" s="156">
        <v>0</v>
      </c>
      <c r="R130" s="156">
        <v>0</v>
      </c>
      <c r="S130" s="156">
        <v>0</v>
      </c>
      <c r="T130" s="156">
        <v>0</v>
      </c>
      <c r="U130" s="156">
        <v>0</v>
      </c>
      <c r="V130" s="156">
        <v>0</v>
      </c>
      <c r="W130" s="156">
        <v>0</v>
      </c>
      <c r="X130" s="156">
        <v>0</v>
      </c>
      <c r="Y130" s="156">
        <v>0</v>
      </c>
      <c r="Z130" s="156">
        <v>32.340000000000003</v>
      </c>
      <c r="AA130" s="156">
        <v>0</v>
      </c>
      <c r="AB130" s="156">
        <v>0</v>
      </c>
      <c r="AC130" s="156">
        <v>0</v>
      </c>
      <c r="AD130" s="156">
        <v>0</v>
      </c>
      <c r="AE130" s="156">
        <v>0</v>
      </c>
      <c r="AF130" s="156">
        <v>0</v>
      </c>
      <c r="AG130" s="156">
        <v>0</v>
      </c>
      <c r="AH130" s="156">
        <v>0</v>
      </c>
      <c r="AI130" s="156">
        <v>8.3699999999999992</v>
      </c>
      <c r="AJ130" s="156">
        <v>0</v>
      </c>
      <c r="AK130" s="156">
        <v>0</v>
      </c>
      <c r="AL130" s="156">
        <v>60.28</v>
      </c>
      <c r="AM130" s="156">
        <v>-426.99</v>
      </c>
      <c r="AN130" s="156">
        <v>0</v>
      </c>
      <c r="AO130" s="156">
        <v>0</v>
      </c>
      <c r="AP130" s="156">
        <v>0</v>
      </c>
      <c r="AQ130" s="156">
        <v>0</v>
      </c>
      <c r="AR130" s="156">
        <v>0</v>
      </c>
      <c r="AS130" s="156">
        <v>0</v>
      </c>
      <c r="AT130" s="156">
        <f t="shared" si="10"/>
        <v>9563.57</v>
      </c>
    </row>
    <row r="131" spans="1:46" ht="11.25" hidden="1" outlineLevel="3">
      <c r="A131" s="155" t="s">
        <v>152</v>
      </c>
      <c r="B131" s="155" t="s">
        <v>159</v>
      </c>
      <c r="C131" s="155" t="s">
        <v>133</v>
      </c>
      <c r="D131" s="156" t="s">
        <v>62</v>
      </c>
      <c r="E131" s="156" t="s">
        <v>162</v>
      </c>
      <c r="F131" s="157">
        <v>0</v>
      </c>
      <c r="G131" s="157">
        <v>12757</v>
      </c>
      <c r="H131" s="156">
        <v>1511.94</v>
      </c>
      <c r="I131" s="156">
        <v>44.53</v>
      </c>
      <c r="J131" s="156">
        <v>0</v>
      </c>
      <c r="K131" s="156">
        <v>33.450000000000003</v>
      </c>
      <c r="L131" s="156">
        <v>0</v>
      </c>
      <c r="M131" s="156">
        <v>0</v>
      </c>
      <c r="N131" s="156">
        <f t="shared" si="9"/>
        <v>33.450000000000003</v>
      </c>
      <c r="O131" s="156">
        <v>0</v>
      </c>
      <c r="P131" s="156">
        <v>0</v>
      </c>
      <c r="Q131" s="156">
        <v>0</v>
      </c>
      <c r="R131" s="156">
        <v>0</v>
      </c>
      <c r="S131" s="156">
        <v>0</v>
      </c>
      <c r="T131" s="156">
        <v>0</v>
      </c>
      <c r="U131" s="156">
        <v>0</v>
      </c>
      <c r="V131" s="156">
        <v>0</v>
      </c>
      <c r="W131" s="156">
        <v>0</v>
      </c>
      <c r="X131" s="156">
        <v>0</v>
      </c>
      <c r="Y131" s="156">
        <v>0</v>
      </c>
      <c r="Z131" s="156">
        <v>4.9800000000000004</v>
      </c>
      <c r="AA131" s="156">
        <v>0</v>
      </c>
      <c r="AB131" s="156">
        <v>0</v>
      </c>
      <c r="AC131" s="156">
        <v>0</v>
      </c>
      <c r="AD131" s="156">
        <v>0</v>
      </c>
      <c r="AE131" s="156">
        <v>0</v>
      </c>
      <c r="AF131" s="156">
        <v>0</v>
      </c>
      <c r="AG131" s="156">
        <v>0</v>
      </c>
      <c r="AH131" s="156">
        <v>0</v>
      </c>
      <c r="AI131" s="156">
        <v>3.39</v>
      </c>
      <c r="AJ131" s="156">
        <v>0</v>
      </c>
      <c r="AK131" s="156">
        <v>0</v>
      </c>
      <c r="AL131" s="156">
        <v>13.69</v>
      </c>
      <c r="AM131" s="156">
        <v>-65.819999999999993</v>
      </c>
      <c r="AN131" s="156">
        <v>0</v>
      </c>
      <c r="AO131" s="156">
        <v>0</v>
      </c>
      <c r="AP131" s="156">
        <v>0</v>
      </c>
      <c r="AQ131" s="156">
        <v>0</v>
      </c>
      <c r="AR131" s="156">
        <v>0</v>
      </c>
      <c r="AS131" s="156">
        <v>0</v>
      </c>
      <c r="AT131" s="156">
        <f t="shared" si="10"/>
        <v>1529.0800000000002</v>
      </c>
    </row>
    <row r="132" spans="1:46" ht="11.25" hidden="1" outlineLevel="3">
      <c r="A132" s="155" t="s">
        <v>152</v>
      </c>
      <c r="B132" s="155" t="s">
        <v>160</v>
      </c>
      <c r="C132" s="155" t="s">
        <v>133</v>
      </c>
      <c r="D132" s="156" t="s">
        <v>62</v>
      </c>
      <c r="E132" s="156" t="s">
        <v>162</v>
      </c>
      <c r="F132" s="157">
        <v>0</v>
      </c>
      <c r="G132" s="157">
        <v>89564</v>
      </c>
      <c r="H132" s="156">
        <v>10237.969999999999</v>
      </c>
      <c r="I132" s="156">
        <v>361.85</v>
      </c>
      <c r="J132" s="156">
        <v>0</v>
      </c>
      <c r="K132" s="156">
        <v>84.85</v>
      </c>
      <c r="L132" s="156">
        <v>0</v>
      </c>
      <c r="M132" s="156">
        <v>0</v>
      </c>
      <c r="N132" s="156">
        <f t="shared" si="9"/>
        <v>84.85</v>
      </c>
      <c r="O132" s="156">
        <v>0</v>
      </c>
      <c r="P132" s="156">
        <v>0</v>
      </c>
      <c r="Q132" s="156">
        <v>0</v>
      </c>
      <c r="R132" s="156">
        <v>0</v>
      </c>
      <c r="S132" s="156">
        <v>0</v>
      </c>
      <c r="T132" s="156">
        <v>0</v>
      </c>
      <c r="U132" s="156">
        <v>0</v>
      </c>
      <c r="V132" s="156">
        <v>0</v>
      </c>
      <c r="W132" s="156">
        <v>0</v>
      </c>
      <c r="X132" s="156">
        <v>0</v>
      </c>
      <c r="Y132" s="156">
        <v>0</v>
      </c>
      <c r="Z132" s="156">
        <v>34.93</v>
      </c>
      <c r="AA132" s="156">
        <v>0</v>
      </c>
      <c r="AB132" s="156">
        <v>0</v>
      </c>
      <c r="AC132" s="156">
        <v>0</v>
      </c>
      <c r="AD132" s="156">
        <v>0</v>
      </c>
      <c r="AE132" s="156">
        <v>0</v>
      </c>
      <c r="AF132" s="156">
        <v>0</v>
      </c>
      <c r="AG132" s="156">
        <v>0</v>
      </c>
      <c r="AH132" s="156">
        <v>0</v>
      </c>
      <c r="AI132" s="156">
        <v>13.15</v>
      </c>
      <c r="AJ132" s="156">
        <v>0</v>
      </c>
      <c r="AK132" s="156">
        <v>0</v>
      </c>
      <c r="AL132" s="156">
        <v>79.91</v>
      </c>
      <c r="AM132" s="156">
        <v>-462.12</v>
      </c>
      <c r="AN132" s="156">
        <v>0</v>
      </c>
      <c r="AO132" s="156">
        <v>0</v>
      </c>
      <c r="AP132" s="156">
        <v>0</v>
      </c>
      <c r="AQ132" s="156">
        <v>0</v>
      </c>
      <c r="AR132" s="156">
        <v>0</v>
      </c>
      <c r="AS132" s="156">
        <v>0</v>
      </c>
      <c r="AT132" s="156">
        <f t="shared" si="10"/>
        <v>10257.48</v>
      </c>
    </row>
    <row r="133" spans="1:46" ht="11.25" hidden="1" outlineLevel="3">
      <c r="A133" s="155" t="s">
        <v>152</v>
      </c>
      <c r="D133" s="156" t="s">
        <v>62</v>
      </c>
      <c r="E133" s="156" t="s">
        <v>162</v>
      </c>
      <c r="F133" s="157">
        <v>0</v>
      </c>
      <c r="G133" s="157">
        <v>0</v>
      </c>
      <c r="H133" s="156">
        <v>-8671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f t="shared" si="9"/>
        <v>0</v>
      </c>
      <c r="O133" s="156">
        <v>0</v>
      </c>
      <c r="P133" s="156">
        <v>0</v>
      </c>
      <c r="Q133" s="156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56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56">
        <v>0</v>
      </c>
      <c r="AN133" s="156">
        <v>0</v>
      </c>
      <c r="AO133" s="156">
        <v>0</v>
      </c>
      <c r="AP133" s="156">
        <v>0</v>
      </c>
      <c r="AQ133" s="156">
        <v>0</v>
      </c>
      <c r="AR133" s="156">
        <v>0</v>
      </c>
      <c r="AS133" s="156">
        <v>0</v>
      </c>
      <c r="AT133" s="156">
        <f t="shared" si="10"/>
        <v>-8671</v>
      </c>
    </row>
    <row r="134" spans="1:46" ht="11.25" outlineLevel="2" collapsed="1">
      <c r="D134" s="156"/>
      <c r="E134" s="156" t="s">
        <v>215</v>
      </c>
      <c r="F134" s="157">
        <v>653</v>
      </c>
      <c r="G134" s="157">
        <f t="shared" ref="G134:AT134" si="11">SUBTOTAL(9,G125:G133)</f>
        <v>892591</v>
      </c>
      <c r="H134" s="156">
        <f t="shared" si="11"/>
        <v>94806.090000000011</v>
      </c>
      <c r="I134" s="156">
        <f t="shared" si="11"/>
        <v>3103.17</v>
      </c>
      <c r="J134" s="156">
        <f t="shared" si="11"/>
        <v>0</v>
      </c>
      <c r="K134" s="156">
        <f t="shared" si="11"/>
        <v>1288.25</v>
      </c>
      <c r="L134" s="156">
        <f t="shared" si="11"/>
        <v>0</v>
      </c>
      <c r="M134" s="156">
        <f t="shared" si="11"/>
        <v>0</v>
      </c>
      <c r="N134" s="156">
        <f t="shared" si="11"/>
        <v>1288.25</v>
      </c>
      <c r="O134" s="156">
        <f t="shared" si="11"/>
        <v>0</v>
      </c>
      <c r="P134" s="156">
        <f t="shared" si="11"/>
        <v>0</v>
      </c>
      <c r="Q134" s="156">
        <f t="shared" si="11"/>
        <v>0</v>
      </c>
      <c r="R134" s="156">
        <f t="shared" si="11"/>
        <v>0</v>
      </c>
      <c r="S134" s="156">
        <f t="shared" si="11"/>
        <v>0</v>
      </c>
      <c r="T134" s="156">
        <f t="shared" si="11"/>
        <v>0</v>
      </c>
      <c r="U134" s="156">
        <f t="shared" si="11"/>
        <v>0</v>
      </c>
      <c r="V134" s="156">
        <f t="shared" si="11"/>
        <v>0</v>
      </c>
      <c r="W134" s="156">
        <f t="shared" si="11"/>
        <v>0</v>
      </c>
      <c r="X134" s="156">
        <f t="shared" si="11"/>
        <v>0</v>
      </c>
      <c r="Y134" s="156">
        <f t="shared" si="11"/>
        <v>0</v>
      </c>
      <c r="Z134" s="156">
        <f t="shared" si="11"/>
        <v>348.14000000000004</v>
      </c>
      <c r="AA134" s="156">
        <f t="shared" si="11"/>
        <v>0</v>
      </c>
      <c r="AB134" s="156">
        <f t="shared" si="11"/>
        <v>0</v>
      </c>
      <c r="AC134" s="156">
        <f t="shared" si="11"/>
        <v>0</v>
      </c>
      <c r="AD134" s="156">
        <f t="shared" si="11"/>
        <v>0</v>
      </c>
      <c r="AE134" s="156">
        <f t="shared" si="11"/>
        <v>0</v>
      </c>
      <c r="AF134" s="156">
        <f t="shared" si="11"/>
        <v>0</v>
      </c>
      <c r="AG134" s="156">
        <f t="shared" si="11"/>
        <v>0</v>
      </c>
      <c r="AH134" s="156">
        <f t="shared" si="11"/>
        <v>0</v>
      </c>
      <c r="AI134" s="156">
        <f t="shared" si="11"/>
        <v>129.97999999999999</v>
      </c>
      <c r="AJ134" s="156">
        <f t="shared" si="11"/>
        <v>20</v>
      </c>
      <c r="AK134" s="156">
        <f t="shared" si="11"/>
        <v>0</v>
      </c>
      <c r="AL134" s="156">
        <f t="shared" si="11"/>
        <v>1177.2900000000002</v>
      </c>
      <c r="AM134" s="156">
        <f t="shared" si="11"/>
        <v>-4605.7099999999991</v>
      </c>
      <c r="AN134" s="156">
        <f t="shared" si="11"/>
        <v>0</v>
      </c>
      <c r="AO134" s="156">
        <f t="shared" si="11"/>
        <v>0</v>
      </c>
      <c r="AP134" s="156">
        <f t="shared" si="11"/>
        <v>0</v>
      </c>
      <c r="AQ134" s="156">
        <f t="shared" si="11"/>
        <v>0</v>
      </c>
      <c r="AR134" s="156">
        <f t="shared" si="11"/>
        <v>0</v>
      </c>
      <c r="AS134" s="156">
        <f t="shared" si="11"/>
        <v>0</v>
      </c>
      <c r="AT134" s="156">
        <f t="shared" si="11"/>
        <v>94939.94</v>
      </c>
    </row>
    <row r="135" spans="1:46" ht="11.25" hidden="1" outlineLevel="3">
      <c r="A135" s="155" t="s">
        <v>145</v>
      </c>
      <c r="B135" s="155" t="s">
        <v>146</v>
      </c>
      <c r="C135" s="155" t="s">
        <v>133</v>
      </c>
      <c r="D135" s="156" t="s">
        <v>62</v>
      </c>
      <c r="E135" s="156" t="s">
        <v>148</v>
      </c>
      <c r="F135" s="157">
        <v>0</v>
      </c>
      <c r="G135" s="157">
        <v>626079</v>
      </c>
      <c r="H135" s="156">
        <v>45524.24</v>
      </c>
      <c r="I135" s="156">
        <v>2007.08</v>
      </c>
      <c r="J135" s="156">
        <v>0</v>
      </c>
      <c r="K135" s="156">
        <v>0</v>
      </c>
      <c r="L135" s="156">
        <v>0</v>
      </c>
      <c r="M135" s="156">
        <v>18256.75</v>
      </c>
      <c r="N135" s="156">
        <f>J135+K135+L135+M135</f>
        <v>18256.75</v>
      </c>
      <c r="O135" s="156">
        <v>0</v>
      </c>
      <c r="P135" s="156">
        <v>0</v>
      </c>
      <c r="Q135" s="156">
        <v>826.43</v>
      </c>
      <c r="R135" s="156">
        <v>0</v>
      </c>
      <c r="S135" s="156">
        <v>0</v>
      </c>
      <c r="T135" s="156">
        <v>0</v>
      </c>
      <c r="U135" s="156">
        <v>0</v>
      </c>
      <c r="V135" s="156">
        <v>0</v>
      </c>
      <c r="W135" s="156">
        <v>0</v>
      </c>
      <c r="X135" s="156">
        <v>0</v>
      </c>
      <c r="Y135" s="156">
        <v>0</v>
      </c>
      <c r="Z135" s="156">
        <v>0</v>
      </c>
      <c r="AA135" s="156">
        <v>0</v>
      </c>
      <c r="AB135" s="156">
        <v>0</v>
      </c>
      <c r="AC135" s="156">
        <v>0</v>
      </c>
      <c r="AD135" s="156">
        <v>0</v>
      </c>
      <c r="AE135" s="156">
        <v>0</v>
      </c>
      <c r="AF135" s="156">
        <v>0</v>
      </c>
      <c r="AG135" s="156">
        <v>0</v>
      </c>
      <c r="AH135" s="156">
        <v>0</v>
      </c>
      <c r="AI135" s="156">
        <v>615.24</v>
      </c>
      <c r="AJ135" s="156">
        <v>0</v>
      </c>
      <c r="AK135" s="156">
        <v>-11.45</v>
      </c>
      <c r="AL135" s="156">
        <v>1679.3</v>
      </c>
      <c r="AM135" s="156">
        <v>0</v>
      </c>
      <c r="AN135" s="156">
        <v>0</v>
      </c>
      <c r="AO135" s="156">
        <v>8383.44</v>
      </c>
      <c r="AP135" s="156">
        <v>0</v>
      </c>
      <c r="AQ135" s="156">
        <v>0</v>
      </c>
      <c r="AR135" s="156">
        <v>0</v>
      </c>
      <c r="AS135" s="156">
        <v>0</v>
      </c>
      <c r="AT135" s="156">
        <f>H135+I135+N135+O135+P135+Q135+T135+X135+Y135+Z135+AA135+AB135+AM135+AO135</f>
        <v>74997.94</v>
      </c>
    </row>
    <row r="136" spans="1:46" ht="11.25" hidden="1" outlineLevel="3">
      <c r="A136" s="155" t="s">
        <v>145</v>
      </c>
      <c r="B136" s="155" t="s">
        <v>147</v>
      </c>
      <c r="C136" s="155" t="s">
        <v>133</v>
      </c>
      <c r="D136" s="156" t="s">
        <v>62</v>
      </c>
      <c r="E136" s="156" t="s">
        <v>148</v>
      </c>
      <c r="F136" s="157">
        <v>0</v>
      </c>
      <c r="G136" s="157">
        <v>274440</v>
      </c>
      <c r="H136" s="156">
        <v>20702.53</v>
      </c>
      <c r="I136" s="156">
        <v>846.6</v>
      </c>
      <c r="J136" s="156">
        <v>0</v>
      </c>
      <c r="K136" s="156">
        <v>0</v>
      </c>
      <c r="L136" s="156">
        <v>0</v>
      </c>
      <c r="M136" s="156">
        <v>8000.55</v>
      </c>
      <c r="N136" s="156">
        <f>J136+K136+L136+M136</f>
        <v>8000.55</v>
      </c>
      <c r="O136" s="156">
        <v>0</v>
      </c>
      <c r="P136" s="156">
        <v>0</v>
      </c>
      <c r="Q136" s="156">
        <v>362.24</v>
      </c>
      <c r="R136" s="156">
        <v>0</v>
      </c>
      <c r="S136" s="156">
        <v>0</v>
      </c>
      <c r="T136" s="156">
        <v>0</v>
      </c>
      <c r="U136" s="156">
        <v>0</v>
      </c>
      <c r="V136" s="156">
        <v>0</v>
      </c>
      <c r="W136" s="156">
        <v>0</v>
      </c>
      <c r="X136" s="156">
        <v>0</v>
      </c>
      <c r="Y136" s="156">
        <v>0</v>
      </c>
      <c r="Z136" s="156">
        <v>0</v>
      </c>
      <c r="AA136" s="156">
        <v>0</v>
      </c>
      <c r="AB136" s="156">
        <v>0</v>
      </c>
      <c r="AC136" s="156">
        <v>0</v>
      </c>
      <c r="AD136" s="156">
        <v>0</v>
      </c>
      <c r="AE136" s="156">
        <v>0</v>
      </c>
      <c r="AF136" s="156">
        <v>0</v>
      </c>
      <c r="AG136" s="156">
        <v>0</v>
      </c>
      <c r="AH136" s="156">
        <v>0</v>
      </c>
      <c r="AI136" s="156">
        <v>295</v>
      </c>
      <c r="AJ136" s="156">
        <v>20</v>
      </c>
      <c r="AK136" s="156">
        <v>-3.76</v>
      </c>
      <c r="AL136" s="156">
        <v>663.9</v>
      </c>
      <c r="AM136" s="156">
        <v>0</v>
      </c>
      <c r="AN136" s="156">
        <v>0</v>
      </c>
      <c r="AO136" s="156">
        <v>3674.74</v>
      </c>
      <c r="AP136" s="156">
        <v>0</v>
      </c>
      <c r="AQ136" s="156">
        <v>0</v>
      </c>
      <c r="AR136" s="156">
        <v>0</v>
      </c>
      <c r="AS136" s="156">
        <v>0</v>
      </c>
      <c r="AT136" s="156">
        <f>H136+I136+N136+O136+P136+Q136+T136+X136+Y136+Z136+AA136+AB136+AM136+AO136</f>
        <v>33586.659999999996</v>
      </c>
    </row>
    <row r="137" spans="1:46" ht="11.25" outlineLevel="2" collapsed="1">
      <c r="D137" s="156"/>
      <c r="E137" s="156" t="s">
        <v>216</v>
      </c>
      <c r="F137" s="157">
        <v>736</v>
      </c>
      <c r="G137" s="157">
        <f t="shared" ref="G137:AT137" si="12">SUBTOTAL(9,G135:G136)</f>
        <v>900519</v>
      </c>
      <c r="H137" s="156">
        <f t="shared" si="12"/>
        <v>66226.76999999999</v>
      </c>
      <c r="I137" s="156">
        <f t="shared" si="12"/>
        <v>2853.68</v>
      </c>
      <c r="J137" s="156">
        <f t="shared" si="12"/>
        <v>0</v>
      </c>
      <c r="K137" s="156">
        <f t="shared" si="12"/>
        <v>0</v>
      </c>
      <c r="L137" s="156">
        <f t="shared" si="12"/>
        <v>0</v>
      </c>
      <c r="M137" s="156">
        <f t="shared" si="12"/>
        <v>26257.3</v>
      </c>
      <c r="N137" s="156">
        <f t="shared" si="12"/>
        <v>26257.3</v>
      </c>
      <c r="O137" s="156">
        <f t="shared" si="12"/>
        <v>0</v>
      </c>
      <c r="P137" s="156">
        <f t="shared" si="12"/>
        <v>0</v>
      </c>
      <c r="Q137" s="156">
        <f t="shared" si="12"/>
        <v>1188.67</v>
      </c>
      <c r="R137" s="156">
        <f t="shared" si="12"/>
        <v>0</v>
      </c>
      <c r="S137" s="156">
        <f t="shared" si="12"/>
        <v>0</v>
      </c>
      <c r="T137" s="156">
        <f t="shared" si="12"/>
        <v>0</v>
      </c>
      <c r="U137" s="156">
        <f t="shared" si="12"/>
        <v>0</v>
      </c>
      <c r="V137" s="156">
        <f t="shared" si="12"/>
        <v>0</v>
      </c>
      <c r="W137" s="156">
        <f t="shared" si="12"/>
        <v>0</v>
      </c>
      <c r="X137" s="156">
        <f t="shared" si="12"/>
        <v>0</v>
      </c>
      <c r="Y137" s="156">
        <f t="shared" si="12"/>
        <v>0</v>
      </c>
      <c r="Z137" s="156">
        <f t="shared" si="12"/>
        <v>0</v>
      </c>
      <c r="AA137" s="156">
        <f t="shared" si="12"/>
        <v>0</v>
      </c>
      <c r="AB137" s="156">
        <f t="shared" si="12"/>
        <v>0</v>
      </c>
      <c r="AC137" s="156">
        <f t="shared" si="12"/>
        <v>0</v>
      </c>
      <c r="AD137" s="156">
        <f t="shared" si="12"/>
        <v>0</v>
      </c>
      <c r="AE137" s="156">
        <f t="shared" si="12"/>
        <v>0</v>
      </c>
      <c r="AF137" s="156">
        <f t="shared" si="12"/>
        <v>0</v>
      </c>
      <c r="AG137" s="156">
        <f t="shared" si="12"/>
        <v>0</v>
      </c>
      <c r="AH137" s="156">
        <f t="shared" si="12"/>
        <v>0</v>
      </c>
      <c r="AI137" s="156">
        <f t="shared" si="12"/>
        <v>910.24</v>
      </c>
      <c r="AJ137" s="156">
        <f t="shared" si="12"/>
        <v>20</v>
      </c>
      <c r="AK137" s="156">
        <f t="shared" si="12"/>
        <v>-15.209999999999999</v>
      </c>
      <c r="AL137" s="156">
        <f t="shared" si="12"/>
        <v>2343.1999999999998</v>
      </c>
      <c r="AM137" s="156">
        <f t="shared" si="12"/>
        <v>0</v>
      </c>
      <c r="AN137" s="156">
        <f t="shared" si="12"/>
        <v>0</v>
      </c>
      <c r="AO137" s="156">
        <f t="shared" si="12"/>
        <v>12058.18</v>
      </c>
      <c r="AP137" s="156">
        <f t="shared" si="12"/>
        <v>0</v>
      </c>
      <c r="AQ137" s="156">
        <f t="shared" si="12"/>
        <v>0</v>
      </c>
      <c r="AR137" s="156">
        <f t="shared" si="12"/>
        <v>0</v>
      </c>
      <c r="AS137" s="156">
        <f t="shared" si="12"/>
        <v>0</v>
      </c>
      <c r="AT137" s="156">
        <f t="shared" si="12"/>
        <v>108584.6</v>
      </c>
    </row>
    <row r="138" spans="1:46" ht="11.25" hidden="1" outlineLevel="3">
      <c r="A138" s="155" t="s">
        <v>145</v>
      </c>
      <c r="B138" s="155" t="s">
        <v>146</v>
      </c>
      <c r="C138" s="155" t="s">
        <v>133</v>
      </c>
      <c r="D138" s="156" t="s">
        <v>62</v>
      </c>
      <c r="E138" s="156" t="s">
        <v>149</v>
      </c>
      <c r="F138" s="157">
        <v>0</v>
      </c>
      <c r="G138" s="157">
        <v>2787389</v>
      </c>
      <c r="H138" s="156">
        <v>180357.35</v>
      </c>
      <c r="I138" s="156">
        <v>4953.45</v>
      </c>
      <c r="J138" s="156">
        <v>0</v>
      </c>
      <c r="K138" s="156">
        <v>0</v>
      </c>
      <c r="L138" s="156">
        <v>0</v>
      </c>
      <c r="M138" s="156">
        <v>81357.740000000005</v>
      </c>
      <c r="N138" s="156">
        <f>J138+K138+L138+M138</f>
        <v>81357.740000000005</v>
      </c>
      <c r="O138" s="156">
        <v>0</v>
      </c>
      <c r="P138" s="156">
        <v>0</v>
      </c>
      <c r="Q138" s="156">
        <v>3679.51</v>
      </c>
      <c r="R138" s="156">
        <v>0</v>
      </c>
      <c r="S138" s="156">
        <v>0</v>
      </c>
      <c r="T138" s="156">
        <v>0</v>
      </c>
      <c r="U138" s="156">
        <v>0</v>
      </c>
      <c r="V138" s="156">
        <v>0</v>
      </c>
      <c r="W138" s="156">
        <v>0</v>
      </c>
      <c r="X138" s="156">
        <v>0</v>
      </c>
      <c r="Y138" s="156">
        <v>0</v>
      </c>
      <c r="Z138" s="156">
        <v>0</v>
      </c>
      <c r="AA138" s="156">
        <v>0</v>
      </c>
      <c r="AB138" s="156">
        <v>0</v>
      </c>
      <c r="AC138" s="156">
        <v>0</v>
      </c>
      <c r="AD138" s="156">
        <v>0</v>
      </c>
      <c r="AE138" s="156">
        <v>0</v>
      </c>
      <c r="AF138" s="156">
        <v>0</v>
      </c>
      <c r="AG138" s="156">
        <v>0</v>
      </c>
      <c r="AH138" s="156">
        <v>0</v>
      </c>
      <c r="AI138" s="156">
        <v>1734.89</v>
      </c>
      <c r="AJ138" s="156">
        <v>0</v>
      </c>
      <c r="AK138" s="156">
        <v>-5.05</v>
      </c>
      <c r="AL138" s="156">
        <v>5964.04</v>
      </c>
      <c r="AM138" s="156">
        <v>0</v>
      </c>
      <c r="AN138" s="156">
        <v>0</v>
      </c>
      <c r="AO138" s="156">
        <v>36313.47</v>
      </c>
      <c r="AP138" s="156">
        <v>0</v>
      </c>
      <c r="AQ138" s="156">
        <v>0</v>
      </c>
      <c r="AR138" s="156">
        <v>0</v>
      </c>
      <c r="AS138" s="156">
        <v>0</v>
      </c>
      <c r="AT138" s="156">
        <f>H138+I138+N138+O138+P138+Q138+T138+X138+Y138+Z138+AA138+AB138+AM138+AO138</f>
        <v>306661.52</v>
      </c>
    </row>
    <row r="139" spans="1:46" ht="11.25" hidden="1" outlineLevel="3">
      <c r="A139" s="155" t="s">
        <v>145</v>
      </c>
      <c r="B139" s="155" t="s">
        <v>147</v>
      </c>
      <c r="C139" s="155" t="s">
        <v>133</v>
      </c>
      <c r="D139" s="156" t="s">
        <v>62</v>
      </c>
      <c r="E139" s="156" t="s">
        <v>149</v>
      </c>
      <c r="F139" s="157">
        <v>0</v>
      </c>
      <c r="G139" s="157">
        <v>692850</v>
      </c>
      <c r="H139" s="156">
        <v>46184.85</v>
      </c>
      <c r="I139" s="156">
        <v>1905.08</v>
      </c>
      <c r="J139" s="156">
        <v>0</v>
      </c>
      <c r="K139" s="156">
        <v>0</v>
      </c>
      <c r="L139" s="156">
        <v>0</v>
      </c>
      <c r="M139" s="156">
        <v>20201.63</v>
      </c>
      <c r="N139" s="156">
        <f>J139+K139+L139+M139</f>
        <v>20201.63</v>
      </c>
      <c r="O139" s="156">
        <v>0</v>
      </c>
      <c r="P139" s="156">
        <v>0</v>
      </c>
      <c r="Q139" s="156">
        <v>914.3</v>
      </c>
      <c r="R139" s="156">
        <v>0</v>
      </c>
      <c r="S139" s="156">
        <v>0</v>
      </c>
      <c r="T139" s="156">
        <v>0</v>
      </c>
      <c r="U139" s="156">
        <v>0</v>
      </c>
      <c r="V139" s="156">
        <v>0</v>
      </c>
      <c r="W139" s="156">
        <v>0</v>
      </c>
      <c r="X139" s="156">
        <v>0</v>
      </c>
      <c r="Y139" s="156">
        <v>0</v>
      </c>
      <c r="Z139" s="156">
        <v>0</v>
      </c>
      <c r="AA139" s="156">
        <v>0</v>
      </c>
      <c r="AB139" s="156">
        <v>0</v>
      </c>
      <c r="AC139" s="156">
        <v>0</v>
      </c>
      <c r="AD139" s="156">
        <v>0</v>
      </c>
      <c r="AE139" s="156">
        <v>0</v>
      </c>
      <c r="AF139" s="156">
        <v>0</v>
      </c>
      <c r="AG139" s="156">
        <v>0</v>
      </c>
      <c r="AH139" s="156">
        <v>0</v>
      </c>
      <c r="AI139" s="156">
        <v>367.42</v>
      </c>
      <c r="AJ139" s="156">
        <v>60</v>
      </c>
      <c r="AK139" s="156">
        <v>0</v>
      </c>
      <c r="AL139" s="156">
        <v>1566.86</v>
      </c>
      <c r="AM139" s="156">
        <v>0</v>
      </c>
      <c r="AN139" s="156">
        <v>0</v>
      </c>
      <c r="AO139" s="156">
        <v>9031.92</v>
      </c>
      <c r="AP139" s="156">
        <v>0</v>
      </c>
      <c r="AQ139" s="156">
        <v>0</v>
      </c>
      <c r="AR139" s="156">
        <v>0</v>
      </c>
      <c r="AS139" s="156">
        <v>0</v>
      </c>
      <c r="AT139" s="156">
        <f>H139+I139+N139+O139+P139+Q139+T139+X139+Y139+Z139+AA139+AB139+AM139+AO139</f>
        <v>78237.78</v>
      </c>
    </row>
    <row r="140" spans="1:46" ht="11.25" hidden="1" outlineLevel="3">
      <c r="A140" s="155" t="s">
        <v>167</v>
      </c>
      <c r="B140" s="155" t="s">
        <v>146</v>
      </c>
      <c r="C140" s="155" t="s">
        <v>133</v>
      </c>
      <c r="D140" s="156" t="s">
        <v>62</v>
      </c>
      <c r="E140" s="156" t="s">
        <v>149</v>
      </c>
      <c r="F140" s="157">
        <v>0</v>
      </c>
      <c r="G140" s="157">
        <v>1695075</v>
      </c>
      <c r="H140" s="156">
        <v>108769.25</v>
      </c>
      <c r="I140" s="156">
        <v>2218.08</v>
      </c>
      <c r="J140" s="156">
        <v>46560.93</v>
      </c>
      <c r="K140" s="156">
        <v>0</v>
      </c>
      <c r="L140" s="156">
        <v>0</v>
      </c>
      <c r="M140" s="156">
        <v>0</v>
      </c>
      <c r="N140" s="156">
        <f>J140+K140+L140+M140</f>
        <v>46560.93</v>
      </c>
      <c r="O140" s="156">
        <v>0</v>
      </c>
      <c r="P140" s="156">
        <v>0</v>
      </c>
      <c r="Q140" s="156">
        <v>0</v>
      </c>
      <c r="R140" s="156">
        <v>0</v>
      </c>
      <c r="S140" s="156">
        <v>0</v>
      </c>
      <c r="T140" s="156">
        <v>0</v>
      </c>
      <c r="U140" s="156">
        <v>0</v>
      </c>
      <c r="V140" s="156">
        <v>0</v>
      </c>
      <c r="W140" s="156">
        <v>0</v>
      </c>
      <c r="X140" s="156">
        <v>1695.48</v>
      </c>
      <c r="Y140" s="156">
        <v>0</v>
      </c>
      <c r="Z140" s="156">
        <v>0</v>
      </c>
      <c r="AA140" s="156">
        <v>0</v>
      </c>
      <c r="AB140" s="156">
        <v>0</v>
      </c>
      <c r="AC140" s="156">
        <v>0</v>
      </c>
      <c r="AD140" s="156">
        <v>0</v>
      </c>
      <c r="AE140" s="156">
        <v>0</v>
      </c>
      <c r="AF140" s="156">
        <v>0</v>
      </c>
      <c r="AG140" s="156">
        <v>0</v>
      </c>
      <c r="AH140" s="156">
        <v>0</v>
      </c>
      <c r="AI140" s="156">
        <v>658.22</v>
      </c>
      <c r="AJ140" s="156">
        <v>8</v>
      </c>
      <c r="AK140" s="156">
        <v>-11.74</v>
      </c>
      <c r="AL140" s="156">
        <v>4023.03</v>
      </c>
      <c r="AM140" s="156">
        <v>-14560.65</v>
      </c>
      <c r="AN140" s="156">
        <v>0</v>
      </c>
      <c r="AO140" s="156">
        <v>0</v>
      </c>
      <c r="AP140" s="156">
        <v>0</v>
      </c>
      <c r="AQ140" s="156">
        <v>0</v>
      </c>
      <c r="AR140" s="156">
        <v>0</v>
      </c>
      <c r="AS140" s="156">
        <v>0</v>
      </c>
      <c r="AT140" s="156">
        <f>H140+I140+N140+O140+P140+Q140+T140+X140+Y140+Z140+AA140+AB140+AM140+AO140</f>
        <v>144683.09000000003</v>
      </c>
    </row>
    <row r="141" spans="1:46" ht="11.25" hidden="1" outlineLevel="3">
      <c r="A141" s="155" t="s">
        <v>167</v>
      </c>
      <c r="B141" s="155" t="s">
        <v>132</v>
      </c>
      <c r="C141" s="155" t="s">
        <v>133</v>
      </c>
      <c r="D141" s="156" t="s">
        <v>62</v>
      </c>
      <c r="E141" s="156" t="s">
        <v>149</v>
      </c>
      <c r="F141" s="157">
        <v>0</v>
      </c>
      <c r="G141" s="157">
        <v>2243</v>
      </c>
      <c r="H141" s="156">
        <v>141.4</v>
      </c>
      <c r="I141" s="156">
        <v>0</v>
      </c>
      <c r="J141" s="156">
        <v>61.61</v>
      </c>
      <c r="K141" s="156">
        <v>0</v>
      </c>
      <c r="L141" s="156">
        <v>0</v>
      </c>
      <c r="M141" s="156">
        <v>0</v>
      </c>
      <c r="N141" s="156">
        <f>J141+K141+L141+M141</f>
        <v>61.61</v>
      </c>
      <c r="O141" s="156">
        <v>0</v>
      </c>
      <c r="P141" s="156">
        <v>0</v>
      </c>
      <c r="Q141" s="156">
        <v>0</v>
      </c>
      <c r="R141" s="156">
        <v>0</v>
      </c>
      <c r="S141" s="156">
        <v>0</v>
      </c>
      <c r="T141" s="156">
        <v>0</v>
      </c>
      <c r="U141" s="156">
        <v>0</v>
      </c>
      <c r="V141" s="156">
        <v>0</v>
      </c>
      <c r="W141" s="156">
        <v>0</v>
      </c>
      <c r="X141" s="156">
        <v>2.2400000000000002</v>
      </c>
      <c r="Y141" s="156">
        <v>0</v>
      </c>
      <c r="Z141" s="156">
        <v>0</v>
      </c>
      <c r="AA141" s="156">
        <v>0</v>
      </c>
      <c r="AB141" s="156">
        <v>0</v>
      </c>
      <c r="AC141" s="156">
        <v>0</v>
      </c>
      <c r="AD141" s="156">
        <v>0</v>
      </c>
      <c r="AE141" s="156">
        <v>0</v>
      </c>
      <c r="AF141" s="156">
        <v>0</v>
      </c>
      <c r="AG141" s="156">
        <v>0</v>
      </c>
      <c r="AH141" s="156">
        <v>0</v>
      </c>
      <c r="AI141" s="156">
        <v>0</v>
      </c>
      <c r="AJ141" s="156">
        <v>0</v>
      </c>
      <c r="AK141" s="156">
        <v>0</v>
      </c>
      <c r="AL141" s="156">
        <v>2.87</v>
      </c>
      <c r="AM141" s="156">
        <v>-19.27</v>
      </c>
      <c r="AN141" s="156">
        <v>0</v>
      </c>
      <c r="AO141" s="156">
        <v>0</v>
      </c>
      <c r="AP141" s="156">
        <v>0</v>
      </c>
      <c r="AQ141" s="156">
        <v>0</v>
      </c>
      <c r="AR141" s="156">
        <v>0</v>
      </c>
      <c r="AS141" s="156">
        <v>0</v>
      </c>
      <c r="AT141" s="156">
        <f>H141+I141+N141+O141+P141+Q141+T141+X141+Y141+Z141+AA141+AB141+AM141+AO141</f>
        <v>185.98</v>
      </c>
    </row>
    <row r="142" spans="1:46" ht="11.25" outlineLevel="2" collapsed="1">
      <c r="D142" s="156"/>
      <c r="E142" s="156" t="s">
        <v>217</v>
      </c>
      <c r="F142" s="157">
        <v>2825</v>
      </c>
      <c r="G142" s="157">
        <f t="shared" ref="G142:AT142" si="13">SUBTOTAL(9,G138:G141)</f>
        <v>5177557</v>
      </c>
      <c r="H142" s="156">
        <f t="shared" si="13"/>
        <v>335452.85000000003</v>
      </c>
      <c r="I142" s="156">
        <f t="shared" si="13"/>
        <v>9076.61</v>
      </c>
      <c r="J142" s="156">
        <f t="shared" si="13"/>
        <v>46622.54</v>
      </c>
      <c r="K142" s="156">
        <f t="shared" si="13"/>
        <v>0</v>
      </c>
      <c r="L142" s="156">
        <f t="shared" si="13"/>
        <v>0</v>
      </c>
      <c r="M142" s="156">
        <f t="shared" si="13"/>
        <v>101559.37000000001</v>
      </c>
      <c r="N142" s="156">
        <f t="shared" si="13"/>
        <v>148181.91</v>
      </c>
      <c r="O142" s="156">
        <f t="shared" si="13"/>
        <v>0</v>
      </c>
      <c r="P142" s="156">
        <f t="shared" si="13"/>
        <v>0</v>
      </c>
      <c r="Q142" s="156">
        <f t="shared" si="13"/>
        <v>4593.8100000000004</v>
      </c>
      <c r="R142" s="156">
        <f t="shared" si="13"/>
        <v>0</v>
      </c>
      <c r="S142" s="156">
        <f t="shared" si="13"/>
        <v>0</v>
      </c>
      <c r="T142" s="156">
        <f t="shared" si="13"/>
        <v>0</v>
      </c>
      <c r="U142" s="156">
        <f t="shared" si="13"/>
        <v>0</v>
      </c>
      <c r="V142" s="156">
        <f t="shared" si="13"/>
        <v>0</v>
      </c>
      <c r="W142" s="156">
        <f t="shared" si="13"/>
        <v>0</v>
      </c>
      <c r="X142" s="156">
        <f t="shared" si="13"/>
        <v>1697.72</v>
      </c>
      <c r="Y142" s="156">
        <f t="shared" si="13"/>
        <v>0</v>
      </c>
      <c r="Z142" s="156">
        <f t="shared" si="13"/>
        <v>0</v>
      </c>
      <c r="AA142" s="156">
        <f t="shared" si="13"/>
        <v>0</v>
      </c>
      <c r="AB142" s="156">
        <f t="shared" si="13"/>
        <v>0</v>
      </c>
      <c r="AC142" s="156">
        <f t="shared" si="13"/>
        <v>0</v>
      </c>
      <c r="AD142" s="156">
        <f t="shared" si="13"/>
        <v>0</v>
      </c>
      <c r="AE142" s="156">
        <f t="shared" si="13"/>
        <v>0</v>
      </c>
      <c r="AF142" s="156">
        <f t="shared" si="13"/>
        <v>0</v>
      </c>
      <c r="AG142" s="156">
        <f t="shared" si="13"/>
        <v>0</v>
      </c>
      <c r="AH142" s="156">
        <f t="shared" si="13"/>
        <v>0</v>
      </c>
      <c r="AI142" s="156">
        <f t="shared" si="13"/>
        <v>2760.5299999999997</v>
      </c>
      <c r="AJ142" s="156">
        <f t="shared" si="13"/>
        <v>68</v>
      </c>
      <c r="AK142" s="156">
        <f t="shared" si="13"/>
        <v>-16.79</v>
      </c>
      <c r="AL142" s="156">
        <f t="shared" si="13"/>
        <v>11556.800000000001</v>
      </c>
      <c r="AM142" s="156">
        <f t="shared" si="13"/>
        <v>-14579.92</v>
      </c>
      <c r="AN142" s="156">
        <f t="shared" si="13"/>
        <v>0</v>
      </c>
      <c r="AO142" s="156">
        <f t="shared" si="13"/>
        <v>45345.39</v>
      </c>
      <c r="AP142" s="156">
        <f t="shared" si="13"/>
        <v>0</v>
      </c>
      <c r="AQ142" s="156">
        <f t="shared" si="13"/>
        <v>0</v>
      </c>
      <c r="AR142" s="156">
        <f t="shared" si="13"/>
        <v>0</v>
      </c>
      <c r="AS142" s="156">
        <f t="shared" si="13"/>
        <v>0</v>
      </c>
      <c r="AT142" s="156">
        <f t="shared" si="13"/>
        <v>529768.37000000011</v>
      </c>
    </row>
    <row r="143" spans="1:46" ht="11.25" outlineLevel="1">
      <c r="D143" s="159" t="s">
        <v>218</v>
      </c>
      <c r="E143" s="159"/>
      <c r="F143" s="160">
        <f>F5+F24+F124+F134+F137+F142</f>
        <v>148031</v>
      </c>
      <c r="G143" s="160">
        <f t="shared" ref="G143:AT143" si="14">SUBTOTAL(9,G2:G141)</f>
        <v>173994697</v>
      </c>
      <c r="H143" s="159">
        <f t="shared" si="14"/>
        <v>21320296.389999993</v>
      </c>
      <c r="I143" s="159">
        <f t="shared" si="14"/>
        <v>600204.01999999979</v>
      </c>
      <c r="J143" s="159">
        <f t="shared" si="14"/>
        <v>127094.55</v>
      </c>
      <c r="K143" s="159">
        <f t="shared" si="14"/>
        <v>226249.77999999997</v>
      </c>
      <c r="L143" s="159">
        <f t="shared" si="14"/>
        <v>105732.18999999999</v>
      </c>
      <c r="M143" s="159">
        <f t="shared" si="14"/>
        <v>273115.23</v>
      </c>
      <c r="N143" s="159">
        <f t="shared" si="14"/>
        <v>732191.75000000012</v>
      </c>
      <c r="O143" s="159">
        <f t="shared" si="14"/>
        <v>14380.190000000002</v>
      </c>
      <c r="P143" s="159">
        <f t="shared" si="14"/>
        <v>19905.099999999999</v>
      </c>
      <c r="Q143" s="159">
        <f t="shared" si="14"/>
        <v>12751.599999999999</v>
      </c>
      <c r="R143" s="159">
        <f t="shared" si="14"/>
        <v>0</v>
      </c>
      <c r="S143" s="159">
        <f t="shared" si="14"/>
        <v>0</v>
      </c>
      <c r="T143" s="159">
        <f t="shared" si="14"/>
        <v>0</v>
      </c>
      <c r="U143" s="159">
        <f t="shared" si="14"/>
        <v>0</v>
      </c>
      <c r="V143" s="159">
        <f t="shared" si="14"/>
        <v>0</v>
      </c>
      <c r="W143" s="159">
        <f t="shared" si="14"/>
        <v>0</v>
      </c>
      <c r="X143" s="159">
        <f t="shared" si="14"/>
        <v>4597.42</v>
      </c>
      <c r="Y143" s="159">
        <f t="shared" si="14"/>
        <v>7251.8199999999988</v>
      </c>
      <c r="Z143" s="159">
        <f t="shared" si="14"/>
        <v>60818.28</v>
      </c>
      <c r="AA143" s="159">
        <f t="shared" si="14"/>
        <v>13464.75</v>
      </c>
      <c r="AB143" s="159">
        <f t="shared" si="14"/>
        <v>0</v>
      </c>
      <c r="AC143" s="159">
        <f t="shared" si="14"/>
        <v>0</v>
      </c>
      <c r="AD143" s="159">
        <f t="shared" si="14"/>
        <v>0</v>
      </c>
      <c r="AE143" s="159">
        <f t="shared" si="14"/>
        <v>0</v>
      </c>
      <c r="AF143" s="159">
        <f t="shared" si="14"/>
        <v>0</v>
      </c>
      <c r="AG143" s="159">
        <f t="shared" si="14"/>
        <v>0</v>
      </c>
      <c r="AH143" s="159">
        <f t="shared" si="14"/>
        <v>0</v>
      </c>
      <c r="AI143" s="159">
        <f t="shared" si="14"/>
        <v>56889.05999999999</v>
      </c>
      <c r="AJ143" s="159">
        <f t="shared" si="14"/>
        <v>4710</v>
      </c>
      <c r="AK143" s="159">
        <f t="shared" si="14"/>
        <v>-4981.8499999999995</v>
      </c>
      <c r="AL143" s="159">
        <f t="shared" si="14"/>
        <v>254762.35999999996</v>
      </c>
      <c r="AM143" s="159">
        <f t="shared" si="14"/>
        <v>-929095.3899999999</v>
      </c>
      <c r="AN143" s="159">
        <f t="shared" si="14"/>
        <v>0</v>
      </c>
      <c r="AO143" s="159">
        <f t="shared" si="14"/>
        <v>123079.78000000001</v>
      </c>
      <c r="AP143" s="159">
        <f t="shared" si="14"/>
        <v>0</v>
      </c>
      <c r="AQ143" s="159">
        <f t="shared" si="14"/>
        <v>0</v>
      </c>
      <c r="AR143" s="159">
        <f t="shared" si="14"/>
        <v>-17685.190000000002</v>
      </c>
      <c r="AS143" s="159">
        <f t="shared" si="14"/>
        <v>-2360400.1464233911</v>
      </c>
      <c r="AT143" s="159">
        <f t="shared" si="14"/>
        <v>21979845.710000008</v>
      </c>
    </row>
    <row r="144" spans="1:46" ht="11.25" hidden="1" outlineLevel="3">
      <c r="A144" s="155" t="s">
        <v>152</v>
      </c>
      <c r="B144" s="155">
        <v>0</v>
      </c>
      <c r="C144" s="155">
        <v>0</v>
      </c>
      <c r="D144" s="156" t="s">
        <v>64</v>
      </c>
      <c r="E144" s="156" t="s">
        <v>139</v>
      </c>
      <c r="F144" s="157">
        <v>0</v>
      </c>
      <c r="G144" s="157">
        <v>99028</v>
      </c>
      <c r="H144" s="156">
        <v>11754.94</v>
      </c>
      <c r="I144" s="156">
        <v>233.51</v>
      </c>
      <c r="J144" s="156">
        <v>0</v>
      </c>
      <c r="K144" s="156">
        <v>347.59</v>
      </c>
      <c r="L144" s="156">
        <v>0</v>
      </c>
      <c r="M144" s="156">
        <v>0</v>
      </c>
      <c r="N144" s="156">
        <f t="shared" ref="N144:N193" si="15">J144+K144+L144+M144</f>
        <v>347.59</v>
      </c>
      <c r="O144" s="156">
        <v>0</v>
      </c>
      <c r="P144" s="156">
        <v>0</v>
      </c>
      <c r="Q144" s="156">
        <v>0</v>
      </c>
      <c r="R144" s="156">
        <v>0</v>
      </c>
      <c r="S144" s="156">
        <v>0</v>
      </c>
      <c r="T144" s="156">
        <v>0</v>
      </c>
      <c r="U144" s="156">
        <v>0</v>
      </c>
      <c r="V144" s="156">
        <v>0</v>
      </c>
      <c r="W144" s="156">
        <v>0</v>
      </c>
      <c r="X144" s="156">
        <v>0</v>
      </c>
      <c r="Y144" s="156">
        <v>0</v>
      </c>
      <c r="Z144" s="156">
        <v>70.31</v>
      </c>
      <c r="AA144" s="156">
        <v>0</v>
      </c>
      <c r="AB144" s="156">
        <v>0</v>
      </c>
      <c r="AC144" s="156">
        <v>0</v>
      </c>
      <c r="AD144" s="156">
        <v>0</v>
      </c>
      <c r="AE144" s="156">
        <v>0</v>
      </c>
      <c r="AF144" s="156">
        <v>0</v>
      </c>
      <c r="AG144" s="156">
        <v>0</v>
      </c>
      <c r="AH144" s="156">
        <v>0</v>
      </c>
      <c r="AI144" s="156">
        <v>0</v>
      </c>
      <c r="AJ144" s="156">
        <v>0</v>
      </c>
      <c r="AK144" s="156">
        <v>0</v>
      </c>
      <c r="AL144" s="156">
        <v>945.76</v>
      </c>
      <c r="AM144" s="156">
        <v>-497.12</v>
      </c>
      <c r="AN144" s="156">
        <v>0</v>
      </c>
      <c r="AO144" s="156">
        <v>0</v>
      </c>
      <c r="AP144" s="156">
        <v>0</v>
      </c>
      <c r="AQ144" s="156">
        <v>0</v>
      </c>
      <c r="AR144" s="156">
        <v>0</v>
      </c>
      <c r="AS144" s="156">
        <v>0</v>
      </c>
      <c r="AT144" s="156">
        <f t="shared" ref="AT144:AT193" si="16">H144+I144+N144+O144+P144+Q144+T144+X144+Y144+Z144+AA144+AB144+AM144+AO144</f>
        <v>11909.23</v>
      </c>
    </row>
    <row r="145" spans="1:46" ht="11.25" hidden="1" outlineLevel="3">
      <c r="A145" s="155" t="s">
        <v>152</v>
      </c>
      <c r="B145" s="155">
        <v>0</v>
      </c>
      <c r="C145" s="155">
        <v>0</v>
      </c>
      <c r="D145" s="156" t="s">
        <v>64</v>
      </c>
      <c r="E145" s="156" t="s">
        <v>139</v>
      </c>
      <c r="F145" s="157">
        <v>0</v>
      </c>
      <c r="G145" s="157">
        <v>7998640</v>
      </c>
      <c r="H145" s="156">
        <v>946881.93</v>
      </c>
      <c r="I145" s="156">
        <v>0</v>
      </c>
      <c r="J145" s="156">
        <v>0</v>
      </c>
      <c r="K145" s="156">
        <v>28075.23</v>
      </c>
      <c r="L145" s="156">
        <v>0</v>
      </c>
      <c r="M145" s="156">
        <v>0</v>
      </c>
      <c r="N145" s="156">
        <f t="shared" si="15"/>
        <v>28075.23</v>
      </c>
      <c r="O145" s="156">
        <v>0</v>
      </c>
      <c r="P145" s="156">
        <v>0</v>
      </c>
      <c r="Q145" s="156">
        <v>0</v>
      </c>
      <c r="R145" s="156">
        <v>0</v>
      </c>
      <c r="S145" s="156">
        <v>0</v>
      </c>
      <c r="T145" s="156">
        <v>0</v>
      </c>
      <c r="U145" s="156">
        <v>0</v>
      </c>
      <c r="V145" s="156">
        <v>0</v>
      </c>
      <c r="W145" s="156">
        <v>0</v>
      </c>
      <c r="X145" s="156">
        <v>0</v>
      </c>
      <c r="Y145" s="156">
        <v>0</v>
      </c>
      <c r="Z145" s="156">
        <v>5679.04</v>
      </c>
      <c r="AA145" s="156">
        <v>0</v>
      </c>
      <c r="AB145" s="156">
        <v>0</v>
      </c>
      <c r="AC145" s="156">
        <v>0</v>
      </c>
      <c r="AD145" s="156">
        <v>0</v>
      </c>
      <c r="AE145" s="156">
        <v>0</v>
      </c>
      <c r="AF145" s="156">
        <v>0</v>
      </c>
      <c r="AG145" s="156">
        <v>0</v>
      </c>
      <c r="AH145" s="156">
        <v>0</v>
      </c>
      <c r="AI145" s="156">
        <v>0</v>
      </c>
      <c r="AJ145" s="156">
        <v>0</v>
      </c>
      <c r="AK145" s="156">
        <v>0</v>
      </c>
      <c r="AL145" s="156">
        <v>0</v>
      </c>
      <c r="AM145" s="156">
        <v>-40153.17</v>
      </c>
      <c r="AN145" s="156">
        <v>0</v>
      </c>
      <c r="AO145" s="156">
        <v>0</v>
      </c>
      <c r="AP145" s="156">
        <v>0</v>
      </c>
      <c r="AQ145" s="156">
        <v>0</v>
      </c>
      <c r="AR145" s="156">
        <v>0</v>
      </c>
      <c r="AS145" s="156">
        <v>0</v>
      </c>
      <c r="AT145" s="156">
        <f t="shared" si="16"/>
        <v>940483.03</v>
      </c>
    </row>
    <row r="146" spans="1:46" ht="11.25" hidden="1" outlineLevel="3">
      <c r="A146" s="155" t="s">
        <v>152</v>
      </c>
      <c r="B146" s="155">
        <v>0</v>
      </c>
      <c r="C146" s="155">
        <v>0</v>
      </c>
      <c r="D146" s="156" t="s">
        <v>64</v>
      </c>
      <c r="E146" s="156" t="s">
        <v>139</v>
      </c>
      <c r="F146" s="157">
        <v>0</v>
      </c>
      <c r="G146" s="157">
        <v>99900</v>
      </c>
      <c r="H146" s="156">
        <v>11835.38</v>
      </c>
      <c r="I146" s="156">
        <v>470.22</v>
      </c>
      <c r="J146" s="156">
        <v>0</v>
      </c>
      <c r="K146" s="156">
        <v>350.65</v>
      </c>
      <c r="L146" s="156">
        <v>0</v>
      </c>
      <c r="M146" s="156">
        <v>0</v>
      </c>
      <c r="N146" s="156">
        <f t="shared" si="15"/>
        <v>350.65</v>
      </c>
      <c r="O146" s="156">
        <v>0</v>
      </c>
      <c r="P146" s="156">
        <v>0</v>
      </c>
      <c r="Q146" s="156">
        <v>0</v>
      </c>
      <c r="R146" s="156">
        <v>0</v>
      </c>
      <c r="S146" s="156">
        <v>0</v>
      </c>
      <c r="T146" s="156">
        <v>0</v>
      </c>
      <c r="U146" s="156">
        <v>0</v>
      </c>
      <c r="V146" s="156">
        <v>0</v>
      </c>
      <c r="W146" s="156">
        <v>0</v>
      </c>
      <c r="X146" s="156">
        <v>0</v>
      </c>
      <c r="Y146" s="156">
        <v>0</v>
      </c>
      <c r="Z146" s="156">
        <v>70.930000000000007</v>
      </c>
      <c r="AA146" s="156">
        <v>0</v>
      </c>
      <c r="AB146" s="156">
        <v>0</v>
      </c>
      <c r="AC146" s="156">
        <v>0</v>
      </c>
      <c r="AD146" s="156">
        <v>0</v>
      </c>
      <c r="AE146" s="156">
        <v>0</v>
      </c>
      <c r="AF146" s="156">
        <v>0</v>
      </c>
      <c r="AG146" s="156">
        <v>0</v>
      </c>
      <c r="AH146" s="156">
        <v>0</v>
      </c>
      <c r="AI146" s="156">
        <v>0</v>
      </c>
      <c r="AJ146" s="156">
        <v>0</v>
      </c>
      <c r="AK146" s="156">
        <v>0</v>
      </c>
      <c r="AL146" s="156">
        <v>0</v>
      </c>
      <c r="AM146" s="156">
        <v>-501.49</v>
      </c>
      <c r="AN146" s="156">
        <v>0</v>
      </c>
      <c r="AO146" s="156">
        <v>0</v>
      </c>
      <c r="AP146" s="156">
        <v>0</v>
      </c>
      <c r="AQ146" s="156">
        <v>0</v>
      </c>
      <c r="AR146" s="156">
        <v>0</v>
      </c>
      <c r="AS146" s="156">
        <v>0</v>
      </c>
      <c r="AT146" s="156">
        <f t="shared" si="16"/>
        <v>12225.689999999999</v>
      </c>
    </row>
    <row r="147" spans="1:46" ht="11.25" hidden="1" outlineLevel="3">
      <c r="A147" s="155" t="s">
        <v>152</v>
      </c>
      <c r="B147" s="155">
        <v>0</v>
      </c>
      <c r="C147" s="155">
        <v>0</v>
      </c>
      <c r="D147" s="156" t="s">
        <v>64</v>
      </c>
      <c r="E147" s="156" t="s">
        <v>139</v>
      </c>
      <c r="F147" s="157">
        <v>0</v>
      </c>
      <c r="G147" s="157">
        <v>99000</v>
      </c>
      <c r="H147" s="156">
        <v>11726.26</v>
      </c>
      <c r="I147" s="156">
        <v>465.88</v>
      </c>
      <c r="J147" s="156">
        <v>0</v>
      </c>
      <c r="K147" s="156">
        <v>347.49</v>
      </c>
      <c r="L147" s="156">
        <v>0</v>
      </c>
      <c r="M147" s="156">
        <v>0</v>
      </c>
      <c r="N147" s="156">
        <f t="shared" si="15"/>
        <v>347.49</v>
      </c>
      <c r="O147" s="156">
        <v>0</v>
      </c>
      <c r="P147" s="156">
        <v>0</v>
      </c>
      <c r="Q147" s="156">
        <v>0</v>
      </c>
      <c r="R147" s="156">
        <v>0</v>
      </c>
      <c r="S147" s="156">
        <v>0</v>
      </c>
      <c r="T147" s="156">
        <v>0</v>
      </c>
      <c r="U147" s="156">
        <v>0</v>
      </c>
      <c r="V147" s="156">
        <v>0</v>
      </c>
      <c r="W147" s="156">
        <v>0</v>
      </c>
      <c r="X147" s="156">
        <v>0</v>
      </c>
      <c r="Y147" s="156">
        <v>0</v>
      </c>
      <c r="Z147" s="156">
        <v>70.290000000000006</v>
      </c>
      <c r="AA147" s="156">
        <v>0</v>
      </c>
      <c r="AB147" s="156">
        <v>0</v>
      </c>
      <c r="AC147" s="156">
        <v>0</v>
      </c>
      <c r="AD147" s="156">
        <v>0</v>
      </c>
      <c r="AE147" s="156">
        <v>0</v>
      </c>
      <c r="AF147" s="156">
        <v>0</v>
      </c>
      <c r="AG147" s="156">
        <v>0</v>
      </c>
      <c r="AH147" s="156">
        <v>0</v>
      </c>
      <c r="AI147" s="156">
        <v>0</v>
      </c>
      <c r="AJ147" s="156">
        <v>0</v>
      </c>
      <c r="AK147" s="156">
        <v>0</v>
      </c>
      <c r="AL147" s="156">
        <v>914.3</v>
      </c>
      <c r="AM147" s="156">
        <v>-496.98</v>
      </c>
      <c r="AN147" s="156">
        <v>0</v>
      </c>
      <c r="AO147" s="156">
        <v>0</v>
      </c>
      <c r="AP147" s="156">
        <v>0</v>
      </c>
      <c r="AQ147" s="156">
        <v>0</v>
      </c>
      <c r="AR147" s="156">
        <v>0</v>
      </c>
      <c r="AS147" s="156">
        <v>0</v>
      </c>
      <c r="AT147" s="156">
        <f t="shared" si="16"/>
        <v>12112.94</v>
      </c>
    </row>
    <row r="148" spans="1:46" ht="11.25" hidden="1" outlineLevel="3">
      <c r="A148" s="155" t="s">
        <v>152</v>
      </c>
      <c r="B148" s="155">
        <v>0</v>
      </c>
      <c r="C148" s="155">
        <v>0</v>
      </c>
      <c r="D148" s="156" t="s">
        <v>64</v>
      </c>
      <c r="E148" s="156" t="s">
        <v>139</v>
      </c>
      <c r="F148" s="157">
        <v>0</v>
      </c>
      <c r="G148" s="157">
        <v>99939</v>
      </c>
      <c r="H148" s="156">
        <v>11839.64</v>
      </c>
      <c r="I148" s="156">
        <v>352.8</v>
      </c>
      <c r="J148" s="156">
        <v>0</v>
      </c>
      <c r="K148" s="156">
        <v>350.79</v>
      </c>
      <c r="L148" s="156">
        <v>0</v>
      </c>
      <c r="M148" s="156">
        <v>0</v>
      </c>
      <c r="N148" s="156">
        <f t="shared" si="15"/>
        <v>350.79</v>
      </c>
      <c r="O148" s="156">
        <v>0</v>
      </c>
      <c r="P148" s="156">
        <v>0</v>
      </c>
      <c r="Q148" s="156">
        <v>0</v>
      </c>
      <c r="R148" s="156">
        <v>0</v>
      </c>
      <c r="S148" s="156">
        <v>0</v>
      </c>
      <c r="T148" s="156">
        <v>0</v>
      </c>
      <c r="U148" s="156">
        <v>0</v>
      </c>
      <c r="V148" s="156">
        <v>0</v>
      </c>
      <c r="W148" s="156">
        <v>0</v>
      </c>
      <c r="X148" s="156">
        <v>0</v>
      </c>
      <c r="Y148" s="156">
        <v>0</v>
      </c>
      <c r="Z148" s="156">
        <v>70.959999999999994</v>
      </c>
      <c r="AA148" s="156">
        <v>0</v>
      </c>
      <c r="AB148" s="156">
        <v>0</v>
      </c>
      <c r="AC148" s="156">
        <v>0</v>
      </c>
      <c r="AD148" s="156">
        <v>0</v>
      </c>
      <c r="AE148" s="156">
        <v>0</v>
      </c>
      <c r="AF148" s="156">
        <v>0</v>
      </c>
      <c r="AG148" s="156">
        <v>0</v>
      </c>
      <c r="AH148" s="156">
        <v>0</v>
      </c>
      <c r="AI148" s="156">
        <v>0</v>
      </c>
      <c r="AJ148" s="156">
        <v>0</v>
      </c>
      <c r="AK148" s="156">
        <v>0</v>
      </c>
      <c r="AL148" s="156">
        <v>923.14</v>
      </c>
      <c r="AM148" s="156">
        <v>-501.69</v>
      </c>
      <c r="AN148" s="156">
        <v>0</v>
      </c>
      <c r="AO148" s="156">
        <v>0</v>
      </c>
      <c r="AP148" s="156">
        <v>0</v>
      </c>
      <c r="AQ148" s="156">
        <v>0</v>
      </c>
      <c r="AR148" s="156">
        <v>0</v>
      </c>
      <c r="AS148" s="156">
        <v>0</v>
      </c>
      <c r="AT148" s="156">
        <f t="shared" si="16"/>
        <v>12112.499999999998</v>
      </c>
    </row>
    <row r="149" spans="1:46" ht="11.25" hidden="1" outlineLevel="3">
      <c r="A149" s="155" t="s">
        <v>152</v>
      </c>
      <c r="B149" s="155">
        <v>0</v>
      </c>
      <c r="C149" s="155">
        <v>0</v>
      </c>
      <c r="D149" s="156" t="s">
        <v>64</v>
      </c>
      <c r="E149" s="156" t="s">
        <v>139</v>
      </c>
      <c r="F149" s="157">
        <v>0</v>
      </c>
      <c r="G149" s="157">
        <v>99890</v>
      </c>
      <c r="H149" s="156">
        <v>11834.29</v>
      </c>
      <c r="I149" s="156">
        <v>352.63</v>
      </c>
      <c r="J149" s="156">
        <v>0</v>
      </c>
      <c r="K149" s="156">
        <v>350.61</v>
      </c>
      <c r="L149" s="156">
        <v>0</v>
      </c>
      <c r="M149" s="156">
        <v>0</v>
      </c>
      <c r="N149" s="156">
        <f t="shared" si="15"/>
        <v>350.61</v>
      </c>
      <c r="O149" s="156">
        <v>0</v>
      </c>
      <c r="P149" s="156">
        <v>0</v>
      </c>
      <c r="Q149" s="156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56">
        <v>0</v>
      </c>
      <c r="Z149" s="156">
        <v>70.92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922.71</v>
      </c>
      <c r="AM149" s="156">
        <v>-501.45</v>
      </c>
      <c r="AN149" s="156">
        <v>0</v>
      </c>
      <c r="AO149" s="156">
        <v>0</v>
      </c>
      <c r="AP149" s="156">
        <v>0</v>
      </c>
      <c r="AQ149" s="156">
        <v>0</v>
      </c>
      <c r="AR149" s="156">
        <v>0</v>
      </c>
      <c r="AS149" s="156">
        <v>0</v>
      </c>
      <c r="AT149" s="156">
        <f t="shared" si="16"/>
        <v>12107</v>
      </c>
    </row>
    <row r="150" spans="1:46" ht="11.25" hidden="1" outlineLevel="3">
      <c r="A150" s="155" t="s">
        <v>152</v>
      </c>
      <c r="B150" s="155">
        <v>0</v>
      </c>
      <c r="C150" s="155">
        <v>0</v>
      </c>
      <c r="D150" s="156" t="s">
        <v>64</v>
      </c>
      <c r="E150" s="156" t="s">
        <v>139</v>
      </c>
      <c r="F150" s="157">
        <v>0</v>
      </c>
      <c r="G150" s="157">
        <v>99991</v>
      </c>
      <c r="H150" s="156">
        <v>11846.25</v>
      </c>
      <c r="I150" s="156">
        <v>235.33</v>
      </c>
      <c r="J150" s="156">
        <v>0</v>
      </c>
      <c r="K150" s="156">
        <v>350.97</v>
      </c>
      <c r="L150" s="156">
        <v>0</v>
      </c>
      <c r="M150" s="156">
        <v>0</v>
      </c>
      <c r="N150" s="156">
        <f t="shared" si="15"/>
        <v>350.97</v>
      </c>
      <c r="O150" s="156">
        <v>0</v>
      </c>
      <c r="P150" s="156">
        <v>0</v>
      </c>
      <c r="Q150" s="156">
        <v>0</v>
      </c>
      <c r="R150" s="156">
        <v>0</v>
      </c>
      <c r="S150" s="156">
        <v>0</v>
      </c>
      <c r="T150" s="156">
        <v>0</v>
      </c>
      <c r="U150" s="156">
        <v>0</v>
      </c>
      <c r="V150" s="156">
        <v>0</v>
      </c>
      <c r="W150" s="156">
        <v>0</v>
      </c>
      <c r="X150" s="156">
        <v>0</v>
      </c>
      <c r="Y150" s="156">
        <v>0</v>
      </c>
      <c r="Z150" s="156">
        <v>70.989999999999995</v>
      </c>
      <c r="AA150" s="156">
        <v>0</v>
      </c>
      <c r="AB150" s="156">
        <v>0</v>
      </c>
      <c r="AC150" s="156">
        <v>0</v>
      </c>
      <c r="AD150" s="156">
        <v>0</v>
      </c>
      <c r="AE150" s="156">
        <v>0</v>
      </c>
      <c r="AF150" s="156">
        <v>0</v>
      </c>
      <c r="AG150" s="156">
        <v>0</v>
      </c>
      <c r="AH150" s="156">
        <v>0</v>
      </c>
      <c r="AI150" s="156">
        <v>0</v>
      </c>
      <c r="AJ150" s="156">
        <v>0</v>
      </c>
      <c r="AK150" s="156">
        <v>0</v>
      </c>
      <c r="AL150" s="156">
        <v>953.07</v>
      </c>
      <c r="AM150" s="156">
        <v>-501.95</v>
      </c>
      <c r="AN150" s="156">
        <v>0</v>
      </c>
      <c r="AO150" s="156">
        <v>0</v>
      </c>
      <c r="AP150" s="156">
        <v>0</v>
      </c>
      <c r="AQ150" s="156">
        <v>0</v>
      </c>
      <c r="AR150" s="156">
        <v>0</v>
      </c>
      <c r="AS150" s="156">
        <v>0</v>
      </c>
      <c r="AT150" s="156">
        <f t="shared" si="16"/>
        <v>12001.589999999998</v>
      </c>
    </row>
    <row r="151" spans="1:46" ht="11.25" hidden="1" outlineLevel="3">
      <c r="A151" s="155" t="s">
        <v>152</v>
      </c>
      <c r="B151" s="155">
        <v>0</v>
      </c>
      <c r="C151" s="155">
        <v>0</v>
      </c>
      <c r="D151" s="156" t="s">
        <v>64</v>
      </c>
      <c r="E151" s="156" t="s">
        <v>139</v>
      </c>
      <c r="F151" s="157">
        <v>0</v>
      </c>
      <c r="G151" s="157">
        <v>99864</v>
      </c>
      <c r="H151" s="156">
        <v>11829.72</v>
      </c>
      <c r="I151" s="156">
        <v>234.99</v>
      </c>
      <c r="J151" s="156">
        <v>0</v>
      </c>
      <c r="K151" s="156">
        <v>350.53</v>
      </c>
      <c r="L151" s="156">
        <v>0</v>
      </c>
      <c r="M151" s="156">
        <v>0</v>
      </c>
      <c r="N151" s="156">
        <f t="shared" si="15"/>
        <v>350.53</v>
      </c>
      <c r="O151" s="156">
        <v>0</v>
      </c>
      <c r="P151" s="156">
        <v>0</v>
      </c>
      <c r="Q151" s="156">
        <v>0</v>
      </c>
      <c r="R151" s="156">
        <v>0</v>
      </c>
      <c r="S151" s="156">
        <v>0</v>
      </c>
      <c r="T151" s="156">
        <v>0</v>
      </c>
      <c r="U151" s="156">
        <v>0</v>
      </c>
      <c r="V151" s="156">
        <v>0</v>
      </c>
      <c r="W151" s="156">
        <v>0</v>
      </c>
      <c r="X151" s="156">
        <v>0</v>
      </c>
      <c r="Y151" s="156">
        <v>0</v>
      </c>
      <c r="Z151" s="156">
        <v>70.900000000000006</v>
      </c>
      <c r="AA151" s="156">
        <v>0</v>
      </c>
      <c r="AB151" s="156">
        <v>0</v>
      </c>
      <c r="AC151" s="156">
        <v>0</v>
      </c>
      <c r="AD151" s="156">
        <v>0</v>
      </c>
      <c r="AE151" s="156">
        <v>0</v>
      </c>
      <c r="AF151" s="156">
        <v>0</v>
      </c>
      <c r="AG151" s="156">
        <v>0</v>
      </c>
      <c r="AH151" s="156">
        <v>0</v>
      </c>
      <c r="AI151" s="156">
        <v>0</v>
      </c>
      <c r="AJ151" s="156">
        <v>0</v>
      </c>
      <c r="AK151" s="156">
        <v>0</v>
      </c>
      <c r="AL151" s="156">
        <v>951.73</v>
      </c>
      <c r="AM151" s="156">
        <v>-501.32</v>
      </c>
      <c r="AN151" s="156">
        <v>0</v>
      </c>
      <c r="AO151" s="156">
        <v>0</v>
      </c>
      <c r="AP151" s="156">
        <v>0</v>
      </c>
      <c r="AQ151" s="156">
        <v>0</v>
      </c>
      <c r="AR151" s="156">
        <v>0</v>
      </c>
      <c r="AS151" s="156">
        <v>0</v>
      </c>
      <c r="AT151" s="156">
        <f t="shared" si="16"/>
        <v>11984.82</v>
      </c>
    </row>
    <row r="152" spans="1:46" ht="11.25" hidden="1" outlineLevel="3">
      <c r="A152" s="155" t="s">
        <v>152</v>
      </c>
      <c r="B152" s="155">
        <v>0</v>
      </c>
      <c r="C152" s="155">
        <v>0</v>
      </c>
      <c r="D152" s="156" t="s">
        <v>64</v>
      </c>
      <c r="E152" s="156" t="s">
        <v>139</v>
      </c>
      <c r="F152" s="157">
        <v>0</v>
      </c>
      <c r="G152" s="157">
        <v>99864</v>
      </c>
      <c r="H152" s="156">
        <v>11830.26</v>
      </c>
      <c r="I152" s="156">
        <v>235.01</v>
      </c>
      <c r="J152" s="156">
        <v>0</v>
      </c>
      <c r="K152" s="156">
        <v>350.53</v>
      </c>
      <c r="L152" s="156">
        <v>0</v>
      </c>
      <c r="M152" s="156">
        <v>0</v>
      </c>
      <c r="N152" s="156">
        <f t="shared" si="15"/>
        <v>350.53</v>
      </c>
      <c r="O152" s="156">
        <v>0</v>
      </c>
      <c r="P152" s="156">
        <v>0</v>
      </c>
      <c r="Q152" s="156">
        <v>0</v>
      </c>
      <c r="R152" s="156">
        <v>0</v>
      </c>
      <c r="S152" s="156">
        <v>0</v>
      </c>
      <c r="T152" s="156">
        <v>0</v>
      </c>
      <c r="U152" s="156">
        <v>0</v>
      </c>
      <c r="V152" s="156">
        <v>0</v>
      </c>
      <c r="W152" s="156">
        <v>0</v>
      </c>
      <c r="X152" s="156">
        <v>0</v>
      </c>
      <c r="Y152" s="156">
        <v>0</v>
      </c>
      <c r="Z152" s="156">
        <v>70.900000000000006</v>
      </c>
      <c r="AA152" s="156">
        <v>0</v>
      </c>
      <c r="AB152" s="156">
        <v>0</v>
      </c>
      <c r="AC152" s="156">
        <v>0</v>
      </c>
      <c r="AD152" s="156">
        <v>0</v>
      </c>
      <c r="AE152" s="156">
        <v>0</v>
      </c>
      <c r="AF152" s="156">
        <v>0</v>
      </c>
      <c r="AG152" s="156">
        <v>0</v>
      </c>
      <c r="AH152" s="156">
        <v>0</v>
      </c>
      <c r="AI152" s="156">
        <v>0</v>
      </c>
      <c r="AJ152" s="156">
        <v>0</v>
      </c>
      <c r="AK152" s="156">
        <v>0</v>
      </c>
      <c r="AL152" s="156">
        <v>951.80000000000007</v>
      </c>
      <c r="AM152" s="156">
        <v>-501.32</v>
      </c>
      <c r="AN152" s="156">
        <v>0</v>
      </c>
      <c r="AO152" s="156">
        <v>0</v>
      </c>
      <c r="AP152" s="156">
        <v>0</v>
      </c>
      <c r="AQ152" s="156">
        <v>0</v>
      </c>
      <c r="AR152" s="156">
        <v>0</v>
      </c>
      <c r="AS152" s="156">
        <v>0</v>
      </c>
      <c r="AT152" s="156">
        <f t="shared" si="16"/>
        <v>11985.380000000001</v>
      </c>
    </row>
    <row r="153" spans="1:46" ht="11.25" hidden="1" outlineLevel="3">
      <c r="A153" s="155" t="s">
        <v>152</v>
      </c>
      <c r="B153" s="155">
        <v>0</v>
      </c>
      <c r="C153" s="155">
        <v>0</v>
      </c>
      <c r="D153" s="156" t="s">
        <v>64</v>
      </c>
      <c r="E153" s="156" t="s">
        <v>139</v>
      </c>
      <c r="F153" s="157">
        <v>0</v>
      </c>
      <c r="G153" s="157">
        <v>99687</v>
      </c>
      <c r="H153" s="156">
        <v>11807.51</v>
      </c>
      <c r="I153" s="156">
        <v>234.55</v>
      </c>
      <c r="J153" s="156">
        <v>0</v>
      </c>
      <c r="K153" s="156">
        <v>349.9</v>
      </c>
      <c r="L153" s="156">
        <v>0</v>
      </c>
      <c r="M153" s="156">
        <v>0</v>
      </c>
      <c r="N153" s="156">
        <f t="shared" si="15"/>
        <v>349.9</v>
      </c>
      <c r="O153" s="156">
        <v>0</v>
      </c>
      <c r="P153" s="156">
        <v>0</v>
      </c>
      <c r="Q153" s="156">
        <v>0</v>
      </c>
      <c r="R153" s="156">
        <v>0</v>
      </c>
      <c r="S153" s="156">
        <v>0</v>
      </c>
      <c r="T153" s="156">
        <v>0</v>
      </c>
      <c r="U153" s="156">
        <v>0</v>
      </c>
      <c r="V153" s="156">
        <v>0</v>
      </c>
      <c r="W153" s="156">
        <v>0</v>
      </c>
      <c r="X153" s="156">
        <v>0</v>
      </c>
      <c r="Y153" s="156">
        <v>0</v>
      </c>
      <c r="Z153" s="156">
        <v>70.77</v>
      </c>
      <c r="AA153" s="156">
        <v>0</v>
      </c>
      <c r="AB153" s="156">
        <v>0</v>
      </c>
      <c r="AC153" s="156">
        <v>0</v>
      </c>
      <c r="AD153" s="156">
        <v>0</v>
      </c>
      <c r="AE153" s="156">
        <v>0</v>
      </c>
      <c r="AF153" s="156">
        <v>0</v>
      </c>
      <c r="AG153" s="156">
        <v>0</v>
      </c>
      <c r="AH153" s="156">
        <v>0</v>
      </c>
      <c r="AI153" s="156">
        <v>0</v>
      </c>
      <c r="AJ153" s="156">
        <v>0</v>
      </c>
      <c r="AK153" s="156">
        <v>0</v>
      </c>
      <c r="AL153" s="156">
        <v>949.94999999999993</v>
      </c>
      <c r="AM153" s="156">
        <v>-500.43</v>
      </c>
      <c r="AN153" s="156">
        <v>0</v>
      </c>
      <c r="AO153" s="156">
        <v>0</v>
      </c>
      <c r="AP153" s="156">
        <v>0</v>
      </c>
      <c r="AQ153" s="156">
        <v>0</v>
      </c>
      <c r="AR153" s="156">
        <v>0</v>
      </c>
      <c r="AS153" s="156">
        <v>0</v>
      </c>
      <c r="AT153" s="156">
        <f t="shared" si="16"/>
        <v>11962.3</v>
      </c>
    </row>
    <row r="154" spans="1:46" ht="11.25" hidden="1" outlineLevel="3">
      <c r="A154" s="155" t="s">
        <v>152</v>
      </c>
      <c r="B154" s="155">
        <v>0</v>
      </c>
      <c r="C154" s="155">
        <v>0</v>
      </c>
      <c r="D154" s="156" t="s">
        <v>64</v>
      </c>
      <c r="E154" s="156" t="s">
        <v>139</v>
      </c>
      <c r="F154" s="157">
        <v>0</v>
      </c>
      <c r="G154" s="157">
        <v>94978</v>
      </c>
      <c r="H154" s="156">
        <v>11243.49</v>
      </c>
      <c r="I154" s="156">
        <v>223.35</v>
      </c>
      <c r="J154" s="156">
        <v>0</v>
      </c>
      <c r="K154" s="156">
        <v>333.38</v>
      </c>
      <c r="L154" s="156">
        <v>0</v>
      </c>
      <c r="M154" s="156">
        <v>0</v>
      </c>
      <c r="N154" s="156">
        <f t="shared" si="15"/>
        <v>333.38</v>
      </c>
      <c r="O154" s="156">
        <v>0</v>
      </c>
      <c r="P154" s="156">
        <v>0</v>
      </c>
      <c r="Q154" s="156">
        <v>0</v>
      </c>
      <c r="R154" s="156">
        <v>0</v>
      </c>
      <c r="S154" s="156">
        <v>0</v>
      </c>
      <c r="T154" s="156">
        <v>0</v>
      </c>
      <c r="U154" s="156">
        <v>0</v>
      </c>
      <c r="V154" s="156">
        <v>0</v>
      </c>
      <c r="W154" s="156">
        <v>0</v>
      </c>
      <c r="X154" s="156">
        <v>0</v>
      </c>
      <c r="Y154" s="156">
        <v>0</v>
      </c>
      <c r="Z154" s="156">
        <v>67.44</v>
      </c>
      <c r="AA154" s="156">
        <v>0</v>
      </c>
      <c r="AB154" s="156">
        <v>0</v>
      </c>
      <c r="AC154" s="156">
        <v>0</v>
      </c>
      <c r="AD154" s="156">
        <v>0</v>
      </c>
      <c r="AE154" s="156">
        <v>0</v>
      </c>
      <c r="AF154" s="156">
        <v>0</v>
      </c>
      <c r="AG154" s="156">
        <v>0</v>
      </c>
      <c r="AH154" s="156">
        <v>0</v>
      </c>
      <c r="AI154" s="156">
        <v>0</v>
      </c>
      <c r="AJ154" s="156">
        <v>0</v>
      </c>
      <c r="AK154" s="156">
        <v>0</v>
      </c>
      <c r="AL154" s="156">
        <v>904.55</v>
      </c>
      <c r="AM154" s="156">
        <v>-476.79</v>
      </c>
      <c r="AN154" s="156">
        <v>0</v>
      </c>
      <c r="AO154" s="156">
        <v>0</v>
      </c>
      <c r="AP154" s="156">
        <v>0</v>
      </c>
      <c r="AQ154" s="156">
        <v>0</v>
      </c>
      <c r="AR154" s="156">
        <v>0</v>
      </c>
      <c r="AS154" s="156">
        <v>0</v>
      </c>
      <c r="AT154" s="156">
        <f t="shared" si="16"/>
        <v>11390.869999999999</v>
      </c>
    </row>
    <row r="155" spans="1:46" ht="11.25" hidden="1" outlineLevel="3">
      <c r="A155" s="155" t="s">
        <v>152</v>
      </c>
      <c r="B155" s="155">
        <v>0</v>
      </c>
      <c r="C155" s="155">
        <v>0</v>
      </c>
      <c r="D155" s="156" t="s">
        <v>64</v>
      </c>
      <c r="E155" s="156" t="s">
        <v>139</v>
      </c>
      <c r="F155" s="157">
        <v>0</v>
      </c>
      <c r="G155" s="157">
        <v>99002</v>
      </c>
      <c r="H155" s="156">
        <v>11722.9</v>
      </c>
      <c r="I155" s="156">
        <v>232.87</v>
      </c>
      <c r="J155" s="156">
        <v>0</v>
      </c>
      <c r="K155" s="156">
        <v>347.49</v>
      </c>
      <c r="L155" s="156">
        <v>0</v>
      </c>
      <c r="M155" s="156">
        <v>0</v>
      </c>
      <c r="N155" s="156">
        <f t="shared" si="15"/>
        <v>347.49</v>
      </c>
      <c r="O155" s="156">
        <v>0</v>
      </c>
      <c r="P155" s="156">
        <v>0</v>
      </c>
      <c r="Q155" s="156">
        <v>0</v>
      </c>
      <c r="R155" s="156">
        <v>0</v>
      </c>
      <c r="S155" s="156">
        <v>0</v>
      </c>
      <c r="T155" s="156">
        <v>0</v>
      </c>
      <c r="U155" s="156">
        <v>0</v>
      </c>
      <c r="V155" s="156">
        <v>0</v>
      </c>
      <c r="W155" s="156">
        <v>0</v>
      </c>
      <c r="X155" s="156">
        <v>0</v>
      </c>
      <c r="Y155" s="156">
        <v>0</v>
      </c>
      <c r="Z155" s="156">
        <v>70.290000000000006</v>
      </c>
      <c r="AA155" s="156">
        <v>0</v>
      </c>
      <c r="AB155" s="156">
        <v>0</v>
      </c>
      <c r="AC155" s="156">
        <v>0</v>
      </c>
      <c r="AD155" s="156">
        <v>0</v>
      </c>
      <c r="AE155" s="156">
        <v>0</v>
      </c>
      <c r="AF155" s="156">
        <v>0</v>
      </c>
      <c r="AG155" s="156">
        <v>0</v>
      </c>
      <c r="AH155" s="156">
        <v>0</v>
      </c>
      <c r="AI155" s="156">
        <v>0</v>
      </c>
      <c r="AJ155" s="156">
        <v>0</v>
      </c>
      <c r="AK155" s="156">
        <v>0</v>
      </c>
      <c r="AL155" s="156">
        <v>943.11999999999989</v>
      </c>
      <c r="AM155" s="156">
        <v>-496.99</v>
      </c>
      <c r="AN155" s="156">
        <v>0</v>
      </c>
      <c r="AO155" s="156">
        <v>0</v>
      </c>
      <c r="AP155" s="156">
        <v>0</v>
      </c>
      <c r="AQ155" s="156">
        <v>0</v>
      </c>
      <c r="AR155" s="156">
        <v>0</v>
      </c>
      <c r="AS155" s="156">
        <v>0</v>
      </c>
      <c r="AT155" s="156">
        <f t="shared" si="16"/>
        <v>11876.560000000001</v>
      </c>
    </row>
    <row r="156" spans="1:46" ht="11.25" hidden="1" outlineLevel="3">
      <c r="A156" s="155" t="s">
        <v>152</v>
      </c>
      <c r="B156" s="155">
        <v>0</v>
      </c>
      <c r="C156" s="155">
        <v>0</v>
      </c>
      <c r="D156" s="156" t="s">
        <v>64</v>
      </c>
      <c r="E156" s="156" t="s">
        <v>139</v>
      </c>
      <c r="F156" s="157">
        <v>0</v>
      </c>
      <c r="G156" s="157">
        <v>99900</v>
      </c>
      <c r="H156" s="156">
        <v>11835.07</v>
      </c>
      <c r="I156" s="156">
        <v>78.290000000000006</v>
      </c>
      <c r="J156" s="156">
        <v>0</v>
      </c>
      <c r="K156" s="156">
        <v>350.65</v>
      </c>
      <c r="L156" s="156">
        <v>0</v>
      </c>
      <c r="M156" s="156">
        <v>0</v>
      </c>
      <c r="N156" s="156">
        <f t="shared" si="15"/>
        <v>350.65</v>
      </c>
      <c r="O156" s="156">
        <v>0</v>
      </c>
      <c r="P156" s="156">
        <v>0</v>
      </c>
      <c r="Q156" s="156">
        <v>0</v>
      </c>
      <c r="R156" s="156">
        <v>0</v>
      </c>
      <c r="S156" s="156">
        <v>0</v>
      </c>
      <c r="T156" s="156">
        <v>0</v>
      </c>
      <c r="U156" s="156">
        <v>0</v>
      </c>
      <c r="V156" s="156">
        <v>0</v>
      </c>
      <c r="W156" s="156">
        <v>0</v>
      </c>
      <c r="X156" s="156">
        <v>0</v>
      </c>
      <c r="Y156" s="156">
        <v>0</v>
      </c>
      <c r="Z156" s="156">
        <v>70.930000000000007</v>
      </c>
      <c r="AA156" s="156">
        <v>0</v>
      </c>
      <c r="AB156" s="156">
        <v>0</v>
      </c>
      <c r="AC156" s="156">
        <v>0</v>
      </c>
      <c r="AD156" s="156">
        <v>0</v>
      </c>
      <c r="AE156" s="156">
        <v>0</v>
      </c>
      <c r="AF156" s="156">
        <v>0</v>
      </c>
      <c r="AG156" s="156">
        <v>0</v>
      </c>
      <c r="AH156" s="156">
        <v>0</v>
      </c>
      <c r="AI156" s="156">
        <v>0</v>
      </c>
      <c r="AJ156" s="156">
        <v>0</v>
      </c>
      <c r="AK156" s="156">
        <v>0</v>
      </c>
      <c r="AL156" s="156">
        <v>949.24</v>
      </c>
      <c r="AM156" s="156">
        <v>-501.49</v>
      </c>
      <c r="AN156" s="156">
        <v>0</v>
      </c>
      <c r="AO156" s="156">
        <v>0</v>
      </c>
      <c r="AP156" s="156">
        <v>0</v>
      </c>
      <c r="AQ156" s="156">
        <v>0</v>
      </c>
      <c r="AR156" s="156">
        <v>0</v>
      </c>
      <c r="AS156" s="156">
        <v>0</v>
      </c>
      <c r="AT156" s="156">
        <f t="shared" si="16"/>
        <v>11833.45</v>
      </c>
    </row>
    <row r="157" spans="1:46" ht="11.25" hidden="1" outlineLevel="3">
      <c r="A157" s="155" t="s">
        <v>152</v>
      </c>
      <c r="B157" s="155">
        <v>0</v>
      </c>
      <c r="C157" s="155">
        <v>0</v>
      </c>
      <c r="D157" s="156" t="s">
        <v>64</v>
      </c>
      <c r="E157" s="156" t="s">
        <v>139</v>
      </c>
      <c r="F157" s="157">
        <v>0</v>
      </c>
      <c r="G157" s="157">
        <v>99822</v>
      </c>
      <c r="H157" s="156">
        <v>11825.6</v>
      </c>
      <c r="I157" s="156">
        <v>0</v>
      </c>
      <c r="J157" s="156">
        <v>0</v>
      </c>
      <c r="K157" s="156">
        <v>350.37</v>
      </c>
      <c r="L157" s="156">
        <v>0</v>
      </c>
      <c r="M157" s="156">
        <v>0</v>
      </c>
      <c r="N157" s="156">
        <f t="shared" si="15"/>
        <v>350.37</v>
      </c>
      <c r="O157" s="156">
        <v>0</v>
      </c>
      <c r="P157" s="156">
        <v>0</v>
      </c>
      <c r="Q157" s="156">
        <v>0</v>
      </c>
      <c r="R157" s="156">
        <v>0</v>
      </c>
      <c r="S157" s="156">
        <v>0</v>
      </c>
      <c r="T157" s="156">
        <v>0</v>
      </c>
      <c r="U157" s="156">
        <v>0</v>
      </c>
      <c r="V157" s="156">
        <v>0</v>
      </c>
      <c r="W157" s="156">
        <v>0</v>
      </c>
      <c r="X157" s="156">
        <v>0</v>
      </c>
      <c r="Y157" s="156">
        <v>0</v>
      </c>
      <c r="Z157" s="156">
        <v>70.88</v>
      </c>
      <c r="AA157" s="156">
        <v>0</v>
      </c>
      <c r="AB157" s="156">
        <v>0</v>
      </c>
      <c r="AC157" s="156">
        <v>0</v>
      </c>
      <c r="AD157" s="156">
        <v>0</v>
      </c>
      <c r="AE157" s="156">
        <v>0</v>
      </c>
      <c r="AF157" s="156">
        <v>0</v>
      </c>
      <c r="AG157" s="156">
        <v>0</v>
      </c>
      <c r="AH157" s="156">
        <v>0</v>
      </c>
      <c r="AI157" s="156">
        <v>0</v>
      </c>
      <c r="AJ157" s="156">
        <v>0</v>
      </c>
      <c r="AK157" s="156">
        <v>0</v>
      </c>
      <c r="AL157" s="156">
        <v>701.81</v>
      </c>
      <c r="AM157" s="156">
        <v>-501.11</v>
      </c>
      <c r="AN157" s="156">
        <v>0</v>
      </c>
      <c r="AO157" s="156">
        <v>0</v>
      </c>
      <c r="AP157" s="156">
        <v>0</v>
      </c>
      <c r="AQ157" s="156">
        <v>0</v>
      </c>
      <c r="AR157" s="156">
        <v>0</v>
      </c>
      <c r="AS157" s="156">
        <v>0</v>
      </c>
      <c r="AT157" s="156">
        <f t="shared" si="16"/>
        <v>11745.74</v>
      </c>
    </row>
    <row r="158" spans="1:46" ht="11.25" hidden="1" outlineLevel="3">
      <c r="A158" s="155" t="s">
        <v>152</v>
      </c>
      <c r="B158" s="155">
        <v>0</v>
      </c>
      <c r="C158" s="155">
        <v>0</v>
      </c>
      <c r="D158" s="156" t="s">
        <v>64</v>
      </c>
      <c r="E158" s="156" t="s">
        <v>139</v>
      </c>
      <c r="F158" s="157">
        <v>0</v>
      </c>
      <c r="G158" s="157">
        <v>98660</v>
      </c>
      <c r="H158" s="156">
        <v>11711.37</v>
      </c>
      <c r="I158" s="156">
        <v>0</v>
      </c>
      <c r="J158" s="156">
        <v>0</v>
      </c>
      <c r="K158" s="156">
        <v>70.05</v>
      </c>
      <c r="L158" s="156">
        <v>0</v>
      </c>
      <c r="M158" s="156">
        <v>0</v>
      </c>
      <c r="N158" s="156">
        <f t="shared" si="15"/>
        <v>70.05</v>
      </c>
      <c r="O158" s="156">
        <v>0</v>
      </c>
      <c r="P158" s="156">
        <v>0</v>
      </c>
      <c r="Q158" s="156">
        <v>0</v>
      </c>
      <c r="R158" s="156">
        <v>0</v>
      </c>
      <c r="S158" s="156">
        <v>0</v>
      </c>
      <c r="T158" s="156">
        <v>0</v>
      </c>
      <c r="U158" s="156">
        <v>0</v>
      </c>
      <c r="V158" s="156">
        <v>0</v>
      </c>
      <c r="W158" s="156">
        <v>0</v>
      </c>
      <c r="X158" s="156">
        <v>0</v>
      </c>
      <c r="Y158" s="156">
        <v>0</v>
      </c>
      <c r="Z158" s="156">
        <v>346.3</v>
      </c>
      <c r="AA158" s="156">
        <v>0</v>
      </c>
      <c r="AB158" s="156">
        <v>0</v>
      </c>
      <c r="AC158" s="156">
        <v>0</v>
      </c>
      <c r="AD158" s="156">
        <v>0</v>
      </c>
      <c r="AE158" s="156">
        <v>0</v>
      </c>
      <c r="AF158" s="156">
        <v>0</v>
      </c>
      <c r="AG158" s="156">
        <v>0</v>
      </c>
      <c r="AH158" s="156">
        <v>0</v>
      </c>
      <c r="AI158" s="156">
        <v>0</v>
      </c>
      <c r="AJ158" s="156">
        <v>0</v>
      </c>
      <c r="AK158" s="156">
        <v>0</v>
      </c>
      <c r="AL158" s="156">
        <v>0</v>
      </c>
      <c r="AM158" s="156">
        <v>-495.27</v>
      </c>
      <c r="AN158" s="156">
        <v>0</v>
      </c>
      <c r="AO158" s="156">
        <v>0</v>
      </c>
      <c r="AP158" s="156">
        <v>0</v>
      </c>
      <c r="AQ158" s="156">
        <v>0</v>
      </c>
      <c r="AR158" s="156">
        <v>0</v>
      </c>
      <c r="AS158" s="156">
        <v>0</v>
      </c>
      <c r="AT158" s="156">
        <f t="shared" si="16"/>
        <v>11632.449999999999</v>
      </c>
    </row>
    <row r="159" spans="1:46" ht="11.25" hidden="1" outlineLevel="3">
      <c r="A159" s="155" t="s">
        <v>152</v>
      </c>
      <c r="B159" s="155">
        <v>0</v>
      </c>
      <c r="C159" s="155">
        <v>0</v>
      </c>
      <c r="D159" s="156" t="s">
        <v>64</v>
      </c>
      <c r="E159" s="156" t="s">
        <v>139</v>
      </c>
      <c r="F159" s="157">
        <v>0</v>
      </c>
      <c r="G159" s="157">
        <v>98634</v>
      </c>
      <c r="H159" s="156">
        <v>9491.57</v>
      </c>
      <c r="I159" s="156">
        <v>188.79</v>
      </c>
      <c r="J159" s="156">
        <v>0</v>
      </c>
      <c r="K159" s="156">
        <v>346.2</v>
      </c>
      <c r="L159" s="156">
        <v>0</v>
      </c>
      <c r="M159" s="156">
        <v>0</v>
      </c>
      <c r="N159" s="156">
        <f t="shared" si="15"/>
        <v>346.2</v>
      </c>
      <c r="O159" s="156">
        <v>0</v>
      </c>
      <c r="P159" s="156">
        <v>0</v>
      </c>
      <c r="Q159" s="156">
        <v>0</v>
      </c>
      <c r="R159" s="156">
        <v>0</v>
      </c>
      <c r="S159" s="156">
        <v>0</v>
      </c>
      <c r="T159" s="156">
        <v>0</v>
      </c>
      <c r="U159" s="156">
        <v>0</v>
      </c>
      <c r="V159" s="156">
        <v>0</v>
      </c>
      <c r="W159" s="156">
        <v>0</v>
      </c>
      <c r="X159" s="156">
        <v>0</v>
      </c>
      <c r="Y159" s="156">
        <v>0</v>
      </c>
      <c r="Z159" s="156">
        <v>70.03</v>
      </c>
      <c r="AA159" s="156">
        <v>0</v>
      </c>
      <c r="AB159" s="156">
        <v>0</v>
      </c>
      <c r="AC159" s="156">
        <v>0</v>
      </c>
      <c r="AD159" s="156">
        <v>0</v>
      </c>
      <c r="AE159" s="156">
        <v>0</v>
      </c>
      <c r="AF159" s="156">
        <v>0</v>
      </c>
      <c r="AG159" s="156">
        <v>0</v>
      </c>
      <c r="AH159" s="156">
        <v>0</v>
      </c>
      <c r="AI159" s="156">
        <v>0</v>
      </c>
      <c r="AJ159" s="156">
        <v>0</v>
      </c>
      <c r="AK159" s="156">
        <v>0</v>
      </c>
      <c r="AL159" s="156">
        <v>0</v>
      </c>
      <c r="AM159" s="156">
        <v>-468.51</v>
      </c>
      <c r="AN159" s="156">
        <v>0</v>
      </c>
      <c r="AO159" s="156">
        <v>0</v>
      </c>
      <c r="AP159" s="156">
        <v>0</v>
      </c>
      <c r="AQ159" s="156">
        <v>0</v>
      </c>
      <c r="AR159" s="156">
        <v>0</v>
      </c>
      <c r="AS159" s="156">
        <v>0</v>
      </c>
      <c r="AT159" s="156">
        <f t="shared" si="16"/>
        <v>9628.0800000000017</v>
      </c>
    </row>
    <row r="160" spans="1:46" ht="11.25" hidden="1" outlineLevel="3">
      <c r="A160" s="155" t="s">
        <v>152</v>
      </c>
      <c r="B160" s="155">
        <v>0</v>
      </c>
      <c r="C160" s="155">
        <v>0</v>
      </c>
      <c r="D160" s="156" t="s">
        <v>64</v>
      </c>
      <c r="E160" s="156" t="s">
        <v>139</v>
      </c>
      <c r="F160" s="157">
        <v>0</v>
      </c>
      <c r="G160" s="157">
        <v>98027</v>
      </c>
      <c r="H160" s="156">
        <v>11611.93</v>
      </c>
      <c r="I160" s="156">
        <v>0</v>
      </c>
      <c r="J160" s="156">
        <v>0</v>
      </c>
      <c r="K160" s="156">
        <v>344.08</v>
      </c>
      <c r="L160" s="156">
        <v>0</v>
      </c>
      <c r="M160" s="156">
        <v>0</v>
      </c>
      <c r="N160" s="156">
        <f t="shared" si="15"/>
        <v>344.08</v>
      </c>
      <c r="O160" s="156">
        <v>0</v>
      </c>
      <c r="P160" s="156">
        <v>0</v>
      </c>
      <c r="Q160" s="156">
        <v>0</v>
      </c>
      <c r="R160" s="156">
        <v>0</v>
      </c>
      <c r="S160" s="156">
        <v>0</v>
      </c>
      <c r="T160" s="156">
        <v>0</v>
      </c>
      <c r="U160" s="156">
        <v>0</v>
      </c>
      <c r="V160" s="156">
        <v>0</v>
      </c>
      <c r="W160" s="156">
        <v>0</v>
      </c>
      <c r="X160" s="156">
        <v>0</v>
      </c>
      <c r="Y160" s="156">
        <v>0</v>
      </c>
      <c r="Z160" s="156">
        <v>69.599999999999994</v>
      </c>
      <c r="AA160" s="156">
        <v>0</v>
      </c>
      <c r="AB160" s="156">
        <v>0</v>
      </c>
      <c r="AC160" s="156">
        <v>0</v>
      </c>
      <c r="AD160" s="156">
        <v>0</v>
      </c>
      <c r="AE160" s="156">
        <v>0</v>
      </c>
      <c r="AF160" s="156">
        <v>0</v>
      </c>
      <c r="AG160" s="156">
        <v>0</v>
      </c>
      <c r="AH160" s="156">
        <v>0</v>
      </c>
      <c r="AI160" s="156">
        <v>0</v>
      </c>
      <c r="AJ160" s="156">
        <v>0</v>
      </c>
      <c r="AK160" s="156">
        <v>0</v>
      </c>
      <c r="AL160" s="156">
        <v>689.13</v>
      </c>
      <c r="AM160" s="156">
        <v>-492.09</v>
      </c>
      <c r="AN160" s="156">
        <v>0</v>
      </c>
      <c r="AO160" s="156">
        <v>0</v>
      </c>
      <c r="AP160" s="156">
        <v>0</v>
      </c>
      <c r="AQ160" s="156">
        <v>0</v>
      </c>
      <c r="AR160" s="156">
        <v>0</v>
      </c>
      <c r="AS160" s="156">
        <v>0</v>
      </c>
      <c r="AT160" s="156">
        <f t="shared" si="16"/>
        <v>11533.52</v>
      </c>
    </row>
    <row r="161" spans="1:46" ht="11.25" hidden="1" outlineLevel="3">
      <c r="A161" s="155" t="s">
        <v>152</v>
      </c>
      <c r="B161" s="155">
        <v>0</v>
      </c>
      <c r="C161" s="155">
        <v>0</v>
      </c>
      <c r="D161" s="156" t="s">
        <v>64</v>
      </c>
      <c r="E161" s="156" t="s">
        <v>139</v>
      </c>
      <c r="F161" s="157">
        <v>0</v>
      </c>
      <c r="G161" s="157">
        <v>93766</v>
      </c>
      <c r="H161" s="156">
        <v>11100.02</v>
      </c>
      <c r="I161" s="156">
        <v>0</v>
      </c>
      <c r="J161" s="156">
        <v>0</v>
      </c>
      <c r="K161" s="156">
        <v>329.12</v>
      </c>
      <c r="L161" s="156">
        <v>0</v>
      </c>
      <c r="M161" s="156">
        <v>0</v>
      </c>
      <c r="N161" s="156">
        <f t="shared" si="15"/>
        <v>329.12</v>
      </c>
      <c r="O161" s="156">
        <v>0</v>
      </c>
      <c r="P161" s="156">
        <v>0</v>
      </c>
      <c r="Q161" s="156">
        <v>0</v>
      </c>
      <c r="R161" s="156">
        <v>0</v>
      </c>
      <c r="S161" s="156">
        <v>0</v>
      </c>
      <c r="T161" s="156">
        <v>0</v>
      </c>
      <c r="U161" s="156">
        <v>0</v>
      </c>
      <c r="V161" s="156">
        <v>0</v>
      </c>
      <c r="W161" s="156">
        <v>0</v>
      </c>
      <c r="X161" s="156">
        <v>0</v>
      </c>
      <c r="Y161" s="156">
        <v>0</v>
      </c>
      <c r="Z161" s="156">
        <v>66.569999999999993</v>
      </c>
      <c r="AA161" s="156">
        <v>0</v>
      </c>
      <c r="AB161" s="156">
        <v>0</v>
      </c>
      <c r="AC161" s="156">
        <v>0</v>
      </c>
      <c r="AD161" s="156">
        <v>0</v>
      </c>
      <c r="AE161" s="156">
        <v>0</v>
      </c>
      <c r="AF161" s="156">
        <v>0</v>
      </c>
      <c r="AG161" s="156">
        <v>0</v>
      </c>
      <c r="AH161" s="156">
        <v>0</v>
      </c>
      <c r="AI161" s="156">
        <v>0</v>
      </c>
      <c r="AJ161" s="156">
        <v>0</v>
      </c>
      <c r="AK161" s="156">
        <v>0</v>
      </c>
      <c r="AL161" s="156">
        <v>686.31999999999994</v>
      </c>
      <c r="AM161" s="156">
        <v>-470.7</v>
      </c>
      <c r="AN161" s="156">
        <v>0</v>
      </c>
      <c r="AO161" s="156">
        <v>0</v>
      </c>
      <c r="AP161" s="156">
        <v>0</v>
      </c>
      <c r="AQ161" s="156">
        <v>0</v>
      </c>
      <c r="AR161" s="156">
        <v>0</v>
      </c>
      <c r="AS161" s="156">
        <v>0</v>
      </c>
      <c r="AT161" s="156">
        <f t="shared" si="16"/>
        <v>11025.01</v>
      </c>
    </row>
    <row r="162" spans="1:46" ht="11.25" hidden="1" outlineLevel="3">
      <c r="A162" s="155" t="s">
        <v>152</v>
      </c>
      <c r="D162" s="156" t="s">
        <v>64</v>
      </c>
      <c r="E162" s="156" t="s">
        <v>139</v>
      </c>
      <c r="F162" s="157">
        <v>0</v>
      </c>
      <c r="G162" s="157">
        <v>-99800</v>
      </c>
      <c r="H162" s="156">
        <v>-11823.61</v>
      </c>
      <c r="I162" s="156">
        <v>-453.28</v>
      </c>
      <c r="J162" s="156">
        <v>0</v>
      </c>
      <c r="K162" s="156">
        <v>61.45</v>
      </c>
      <c r="L162" s="156">
        <v>0</v>
      </c>
      <c r="M162" s="156">
        <v>0</v>
      </c>
      <c r="N162" s="156">
        <f t="shared" si="15"/>
        <v>61.45</v>
      </c>
      <c r="O162" s="156">
        <v>0</v>
      </c>
      <c r="P162" s="156">
        <v>0</v>
      </c>
      <c r="Q162" s="156">
        <v>0</v>
      </c>
      <c r="R162" s="156">
        <v>0</v>
      </c>
      <c r="S162" s="156">
        <v>0</v>
      </c>
      <c r="T162" s="156">
        <v>0</v>
      </c>
      <c r="U162" s="156">
        <v>0</v>
      </c>
      <c r="V162" s="156">
        <v>0</v>
      </c>
      <c r="W162" s="156">
        <v>0</v>
      </c>
      <c r="X162" s="156">
        <v>0</v>
      </c>
      <c r="Y162" s="156">
        <v>0</v>
      </c>
      <c r="Z162" s="156">
        <v>-70.86</v>
      </c>
      <c r="AA162" s="156">
        <v>0</v>
      </c>
      <c r="AB162" s="156">
        <v>0</v>
      </c>
      <c r="AC162" s="156">
        <v>0</v>
      </c>
      <c r="AD162" s="156">
        <v>0</v>
      </c>
      <c r="AE162" s="156">
        <v>0</v>
      </c>
      <c r="AF162" s="156">
        <v>0</v>
      </c>
      <c r="AG162" s="156">
        <v>0</v>
      </c>
      <c r="AH162" s="156">
        <v>0</v>
      </c>
      <c r="AI162" s="156">
        <v>0</v>
      </c>
      <c r="AJ162" s="156">
        <v>0</v>
      </c>
      <c r="AK162" s="156">
        <v>0</v>
      </c>
      <c r="AL162" s="156">
        <v>-889.55</v>
      </c>
      <c r="AM162" s="156">
        <v>501</v>
      </c>
      <c r="AN162" s="156">
        <v>0</v>
      </c>
      <c r="AO162" s="156">
        <v>0</v>
      </c>
      <c r="AP162" s="156">
        <v>0</v>
      </c>
      <c r="AQ162" s="156">
        <v>0</v>
      </c>
      <c r="AR162" s="156">
        <v>0</v>
      </c>
      <c r="AS162" s="156">
        <v>0</v>
      </c>
      <c r="AT162" s="156">
        <f t="shared" si="16"/>
        <v>-11785.300000000001</v>
      </c>
    </row>
    <row r="163" spans="1:46" ht="11.25" hidden="1" outlineLevel="3">
      <c r="A163" s="155" t="s">
        <v>152</v>
      </c>
      <c r="D163" s="156" t="s">
        <v>64</v>
      </c>
      <c r="E163" s="156" t="s">
        <v>139</v>
      </c>
      <c r="F163" s="157">
        <v>0</v>
      </c>
      <c r="G163" s="157">
        <v>-99906</v>
      </c>
      <c r="H163" s="156">
        <v>-11836.17</v>
      </c>
      <c r="I163" s="156">
        <v>-453.76</v>
      </c>
      <c r="J163" s="156">
        <v>0</v>
      </c>
      <c r="K163" s="156">
        <v>61.52</v>
      </c>
      <c r="L163" s="156">
        <v>0</v>
      </c>
      <c r="M163" s="156">
        <v>0</v>
      </c>
      <c r="N163" s="156">
        <f t="shared" si="15"/>
        <v>61.52</v>
      </c>
      <c r="O163" s="156">
        <v>0</v>
      </c>
      <c r="P163" s="156">
        <v>0</v>
      </c>
      <c r="Q163" s="156">
        <v>0</v>
      </c>
      <c r="R163" s="156">
        <v>0</v>
      </c>
      <c r="S163" s="156">
        <v>0</v>
      </c>
      <c r="T163" s="156">
        <v>0</v>
      </c>
      <c r="U163" s="156">
        <v>0</v>
      </c>
      <c r="V163" s="156">
        <v>0</v>
      </c>
      <c r="W163" s="156">
        <v>0</v>
      </c>
      <c r="X163" s="156">
        <v>0</v>
      </c>
      <c r="Y163" s="156">
        <v>0</v>
      </c>
      <c r="Z163" s="156">
        <v>-70.930000000000007</v>
      </c>
      <c r="AA163" s="156">
        <v>0</v>
      </c>
      <c r="AB163" s="156">
        <v>0</v>
      </c>
      <c r="AC163" s="156">
        <v>0</v>
      </c>
      <c r="AD163" s="156">
        <v>0</v>
      </c>
      <c r="AE163" s="156">
        <v>0</v>
      </c>
      <c r="AF163" s="156">
        <v>0</v>
      </c>
      <c r="AG163" s="156">
        <v>0</v>
      </c>
      <c r="AH163" s="156">
        <v>0</v>
      </c>
      <c r="AI163" s="156">
        <v>0</v>
      </c>
      <c r="AJ163" s="156">
        <v>0</v>
      </c>
      <c r="AK163" s="156">
        <v>0</v>
      </c>
      <c r="AL163" s="156">
        <v>-890.51</v>
      </c>
      <c r="AM163" s="156">
        <v>501.52</v>
      </c>
      <c r="AN163" s="156">
        <v>0</v>
      </c>
      <c r="AO163" s="156">
        <v>0</v>
      </c>
      <c r="AP163" s="156">
        <v>0</v>
      </c>
      <c r="AQ163" s="156">
        <v>0</v>
      </c>
      <c r="AR163" s="156">
        <v>0</v>
      </c>
      <c r="AS163" s="156">
        <v>0</v>
      </c>
      <c r="AT163" s="156">
        <f t="shared" si="16"/>
        <v>-11797.82</v>
      </c>
    </row>
    <row r="164" spans="1:46" ht="11.25" hidden="1" outlineLevel="3">
      <c r="A164" s="155" t="s">
        <v>152</v>
      </c>
      <c r="D164" s="156" t="s">
        <v>64</v>
      </c>
      <c r="E164" s="156" t="s">
        <v>139</v>
      </c>
      <c r="F164" s="157">
        <v>0</v>
      </c>
      <c r="G164" s="157">
        <v>-99807</v>
      </c>
      <c r="H164" s="156">
        <v>-11824.33</v>
      </c>
      <c r="I164" s="156">
        <v>-452.81</v>
      </c>
      <c r="J164" s="156">
        <v>0</v>
      </c>
      <c r="K164" s="156">
        <v>73.959999999999994</v>
      </c>
      <c r="L164" s="156">
        <v>0</v>
      </c>
      <c r="M164" s="156">
        <v>0</v>
      </c>
      <c r="N164" s="156">
        <f t="shared" si="15"/>
        <v>73.959999999999994</v>
      </c>
      <c r="O164" s="156">
        <v>0</v>
      </c>
      <c r="P164" s="156">
        <v>0</v>
      </c>
      <c r="Q164" s="156">
        <v>0</v>
      </c>
      <c r="R164" s="156">
        <v>0</v>
      </c>
      <c r="S164" s="156">
        <v>0</v>
      </c>
      <c r="T164" s="156">
        <v>0</v>
      </c>
      <c r="U164" s="156">
        <v>0</v>
      </c>
      <c r="V164" s="156">
        <v>0</v>
      </c>
      <c r="W164" s="156">
        <v>0</v>
      </c>
      <c r="X164" s="156">
        <v>0</v>
      </c>
      <c r="Y164" s="156">
        <v>0</v>
      </c>
      <c r="Z164" s="156">
        <v>-70.86</v>
      </c>
      <c r="AA164" s="156">
        <v>0</v>
      </c>
      <c r="AB164" s="156">
        <v>0</v>
      </c>
      <c r="AC164" s="156">
        <v>0</v>
      </c>
      <c r="AD164" s="156">
        <v>0</v>
      </c>
      <c r="AE164" s="156">
        <v>0</v>
      </c>
      <c r="AF164" s="156">
        <v>0</v>
      </c>
      <c r="AG164" s="156">
        <v>0</v>
      </c>
      <c r="AH164" s="156">
        <v>0</v>
      </c>
      <c r="AI164" s="156">
        <v>0</v>
      </c>
      <c r="AJ164" s="156">
        <v>0</v>
      </c>
      <c r="AK164" s="156">
        <v>0</v>
      </c>
      <c r="AL164" s="156">
        <v>-888.63</v>
      </c>
      <c r="AM164" s="156">
        <v>501.03</v>
      </c>
      <c r="AN164" s="156">
        <v>0</v>
      </c>
      <c r="AO164" s="156">
        <v>0</v>
      </c>
      <c r="AP164" s="156">
        <v>0</v>
      </c>
      <c r="AQ164" s="156">
        <v>0</v>
      </c>
      <c r="AR164" s="156">
        <v>0</v>
      </c>
      <c r="AS164" s="156">
        <v>0</v>
      </c>
      <c r="AT164" s="156">
        <f t="shared" si="16"/>
        <v>-11773.01</v>
      </c>
    </row>
    <row r="165" spans="1:46" ht="11.25" hidden="1" outlineLevel="3">
      <c r="A165" s="155" t="s">
        <v>152</v>
      </c>
      <c r="D165" s="156" t="s">
        <v>64</v>
      </c>
      <c r="E165" s="156" t="s">
        <v>139</v>
      </c>
      <c r="F165" s="157">
        <v>0</v>
      </c>
      <c r="G165" s="157">
        <v>-99999</v>
      </c>
      <c r="H165" s="156">
        <v>-11847.2</v>
      </c>
      <c r="I165" s="156">
        <v>-226.8</v>
      </c>
      <c r="J165" s="156">
        <v>0</v>
      </c>
      <c r="K165" s="156">
        <v>76.3</v>
      </c>
      <c r="L165" s="156">
        <v>0</v>
      </c>
      <c r="M165" s="156">
        <v>0</v>
      </c>
      <c r="N165" s="156">
        <f t="shared" si="15"/>
        <v>76.3</v>
      </c>
      <c r="O165" s="156">
        <v>0</v>
      </c>
      <c r="P165" s="156">
        <v>0</v>
      </c>
      <c r="Q165" s="156">
        <v>0</v>
      </c>
      <c r="R165" s="156">
        <v>0</v>
      </c>
      <c r="S165" s="156">
        <v>0</v>
      </c>
      <c r="T165" s="156">
        <v>0</v>
      </c>
      <c r="U165" s="156">
        <v>0</v>
      </c>
      <c r="V165" s="156">
        <v>0</v>
      </c>
      <c r="W165" s="156">
        <v>0</v>
      </c>
      <c r="X165" s="156">
        <v>0</v>
      </c>
      <c r="Y165" s="156">
        <v>0</v>
      </c>
      <c r="Z165" s="156">
        <v>-71</v>
      </c>
      <c r="AA165" s="156">
        <v>0</v>
      </c>
      <c r="AB165" s="156">
        <v>0</v>
      </c>
      <c r="AC165" s="156">
        <v>0</v>
      </c>
      <c r="AD165" s="156">
        <v>0</v>
      </c>
      <c r="AE165" s="156">
        <v>0</v>
      </c>
      <c r="AF165" s="156">
        <v>0</v>
      </c>
      <c r="AG165" s="156">
        <v>0</v>
      </c>
      <c r="AH165" s="156">
        <v>0</v>
      </c>
      <c r="AI165" s="156">
        <v>0</v>
      </c>
      <c r="AJ165" s="156">
        <v>0</v>
      </c>
      <c r="AK165" s="156">
        <v>0</v>
      </c>
      <c r="AL165" s="156">
        <v>-918.53</v>
      </c>
      <c r="AM165" s="156">
        <v>501.99</v>
      </c>
      <c r="AN165" s="156">
        <v>0</v>
      </c>
      <c r="AO165" s="156">
        <v>0</v>
      </c>
      <c r="AP165" s="156">
        <v>0</v>
      </c>
      <c r="AQ165" s="156">
        <v>0</v>
      </c>
      <c r="AR165" s="156">
        <v>0</v>
      </c>
      <c r="AS165" s="156">
        <v>0</v>
      </c>
      <c r="AT165" s="156">
        <f t="shared" si="16"/>
        <v>-11566.710000000001</v>
      </c>
    </row>
    <row r="166" spans="1:46" ht="11.25" hidden="1" outlineLevel="3">
      <c r="A166" s="155" t="s">
        <v>152</v>
      </c>
      <c r="D166" s="156" t="s">
        <v>64</v>
      </c>
      <c r="E166" s="156" t="s">
        <v>139</v>
      </c>
      <c r="F166" s="157">
        <v>0</v>
      </c>
      <c r="G166" s="157">
        <v>-99000</v>
      </c>
      <c r="H166" s="156">
        <v>-11719.62</v>
      </c>
      <c r="I166" s="156">
        <v>-224.35</v>
      </c>
      <c r="J166" s="156">
        <v>0</v>
      </c>
      <c r="K166" s="156">
        <v>75.53</v>
      </c>
      <c r="L166" s="156">
        <v>0</v>
      </c>
      <c r="M166" s="156">
        <v>0</v>
      </c>
      <c r="N166" s="156">
        <f t="shared" si="15"/>
        <v>75.53</v>
      </c>
      <c r="O166" s="156">
        <v>0</v>
      </c>
      <c r="P166" s="156">
        <v>0</v>
      </c>
      <c r="Q166" s="156">
        <v>0</v>
      </c>
      <c r="R166" s="156">
        <v>0</v>
      </c>
      <c r="S166" s="156">
        <v>0</v>
      </c>
      <c r="T166" s="156">
        <v>0</v>
      </c>
      <c r="U166" s="156">
        <v>0</v>
      </c>
      <c r="V166" s="156">
        <v>0</v>
      </c>
      <c r="W166" s="156">
        <v>0</v>
      </c>
      <c r="X166" s="156">
        <v>0</v>
      </c>
      <c r="Y166" s="156">
        <v>0</v>
      </c>
      <c r="Z166" s="156">
        <v>-70.290000000000006</v>
      </c>
      <c r="AA166" s="156">
        <v>0</v>
      </c>
      <c r="AB166" s="156">
        <v>0</v>
      </c>
      <c r="AC166" s="156">
        <v>0</v>
      </c>
      <c r="AD166" s="156">
        <v>0</v>
      </c>
      <c r="AE166" s="156">
        <v>0</v>
      </c>
      <c r="AF166" s="156">
        <v>0</v>
      </c>
      <c r="AG166" s="156">
        <v>0</v>
      </c>
      <c r="AH166" s="156">
        <v>0</v>
      </c>
      <c r="AI166" s="156">
        <v>0</v>
      </c>
      <c r="AJ166" s="156">
        <v>0</v>
      </c>
      <c r="AK166" s="156">
        <v>0</v>
      </c>
      <c r="AL166" s="156">
        <v>-908.63</v>
      </c>
      <c r="AM166" s="156">
        <v>496.98</v>
      </c>
      <c r="AN166" s="156">
        <v>0</v>
      </c>
      <c r="AO166" s="156">
        <v>0</v>
      </c>
      <c r="AP166" s="156">
        <v>0</v>
      </c>
      <c r="AQ166" s="156">
        <v>0</v>
      </c>
      <c r="AR166" s="156">
        <v>0</v>
      </c>
      <c r="AS166" s="156">
        <v>0</v>
      </c>
      <c r="AT166" s="156">
        <f t="shared" si="16"/>
        <v>-11441.750000000002</v>
      </c>
    </row>
    <row r="167" spans="1:46" ht="11.25" hidden="1" outlineLevel="3">
      <c r="A167" s="155" t="s">
        <v>152</v>
      </c>
      <c r="D167" s="156" t="s">
        <v>64</v>
      </c>
      <c r="E167" s="156" t="s">
        <v>139</v>
      </c>
      <c r="F167" s="157">
        <v>0</v>
      </c>
      <c r="G167" s="157">
        <v>-97064</v>
      </c>
      <c r="H167" s="156">
        <v>-11490.44</v>
      </c>
      <c r="I167" s="156">
        <v>0</v>
      </c>
      <c r="J167" s="156">
        <v>0</v>
      </c>
      <c r="K167" s="156">
        <v>-219.12</v>
      </c>
      <c r="L167" s="156">
        <v>0</v>
      </c>
      <c r="M167" s="156">
        <v>0</v>
      </c>
      <c r="N167" s="156">
        <f t="shared" si="15"/>
        <v>-219.12</v>
      </c>
      <c r="O167" s="156">
        <v>0</v>
      </c>
      <c r="P167" s="156">
        <v>0</v>
      </c>
      <c r="Q167" s="156">
        <v>0</v>
      </c>
      <c r="R167" s="156">
        <v>0</v>
      </c>
      <c r="S167" s="156">
        <v>0</v>
      </c>
      <c r="T167" s="156">
        <v>0</v>
      </c>
      <c r="U167" s="156">
        <v>0</v>
      </c>
      <c r="V167" s="156">
        <v>0</v>
      </c>
      <c r="W167" s="156">
        <v>0</v>
      </c>
      <c r="X167" s="156">
        <v>0</v>
      </c>
      <c r="Y167" s="156">
        <v>0</v>
      </c>
      <c r="Z167" s="156">
        <v>-68.91</v>
      </c>
      <c r="AA167" s="156">
        <v>0</v>
      </c>
      <c r="AB167" s="156">
        <v>0</v>
      </c>
      <c r="AC167" s="156">
        <v>0</v>
      </c>
      <c r="AD167" s="156">
        <v>0</v>
      </c>
      <c r="AE167" s="156">
        <v>0</v>
      </c>
      <c r="AF167" s="156">
        <v>0</v>
      </c>
      <c r="AG167" s="156">
        <v>0</v>
      </c>
      <c r="AH167" s="156">
        <v>0</v>
      </c>
      <c r="AI167" s="156">
        <v>0</v>
      </c>
      <c r="AJ167" s="156">
        <v>0</v>
      </c>
      <c r="AK167" s="156">
        <v>0</v>
      </c>
      <c r="AL167" s="156">
        <v>0</v>
      </c>
      <c r="AM167" s="156">
        <v>487.26</v>
      </c>
      <c r="AN167" s="156">
        <v>0</v>
      </c>
      <c r="AO167" s="156">
        <v>0</v>
      </c>
      <c r="AP167" s="156">
        <v>0</v>
      </c>
      <c r="AQ167" s="156">
        <v>0</v>
      </c>
      <c r="AR167" s="156">
        <v>0</v>
      </c>
      <c r="AS167" s="156">
        <v>0</v>
      </c>
      <c r="AT167" s="156">
        <f t="shared" si="16"/>
        <v>-11291.210000000001</v>
      </c>
    </row>
    <row r="168" spans="1:46" ht="11.25" hidden="1" outlineLevel="3">
      <c r="A168" s="155" t="s">
        <v>152</v>
      </c>
      <c r="D168" s="156" t="s">
        <v>64</v>
      </c>
      <c r="E168" s="156" t="s">
        <v>139</v>
      </c>
      <c r="F168" s="157">
        <v>0</v>
      </c>
      <c r="G168" s="157">
        <v>-96493</v>
      </c>
      <c r="H168" s="156">
        <v>-11422.84</v>
      </c>
      <c r="I168" s="156">
        <v>0</v>
      </c>
      <c r="J168" s="156">
        <v>0</v>
      </c>
      <c r="K168" s="156">
        <v>2.57</v>
      </c>
      <c r="L168" s="156">
        <v>0</v>
      </c>
      <c r="M168" s="156">
        <v>0</v>
      </c>
      <c r="N168" s="156">
        <f t="shared" si="15"/>
        <v>2.57</v>
      </c>
      <c r="O168" s="156">
        <v>0</v>
      </c>
      <c r="P168" s="156">
        <v>0</v>
      </c>
      <c r="Q168" s="156">
        <v>0</v>
      </c>
      <c r="R168" s="156">
        <v>0</v>
      </c>
      <c r="S168" s="156">
        <v>0</v>
      </c>
      <c r="T168" s="156">
        <v>0</v>
      </c>
      <c r="U168" s="156">
        <v>0</v>
      </c>
      <c r="V168" s="156">
        <v>0</v>
      </c>
      <c r="W168" s="156">
        <v>0</v>
      </c>
      <c r="X168" s="156">
        <v>0</v>
      </c>
      <c r="Y168" s="156">
        <v>0</v>
      </c>
      <c r="Z168" s="156">
        <v>-68.510000000000005</v>
      </c>
      <c r="AA168" s="156">
        <v>0</v>
      </c>
      <c r="AB168" s="156">
        <v>0</v>
      </c>
      <c r="AC168" s="156">
        <v>0</v>
      </c>
      <c r="AD168" s="156">
        <v>0</v>
      </c>
      <c r="AE168" s="156">
        <v>0</v>
      </c>
      <c r="AF168" s="156">
        <v>0</v>
      </c>
      <c r="AG168" s="156">
        <v>0</v>
      </c>
      <c r="AH168" s="156">
        <v>0</v>
      </c>
      <c r="AI168" s="156">
        <v>0</v>
      </c>
      <c r="AJ168" s="156">
        <v>0</v>
      </c>
      <c r="AK168" s="156">
        <v>0</v>
      </c>
      <c r="AL168" s="156">
        <v>-671.27</v>
      </c>
      <c r="AM168" s="156">
        <v>484.4</v>
      </c>
      <c r="AN168" s="156">
        <v>0</v>
      </c>
      <c r="AO168" s="156">
        <v>0</v>
      </c>
      <c r="AP168" s="156">
        <v>0</v>
      </c>
      <c r="AQ168" s="156">
        <v>0</v>
      </c>
      <c r="AR168" s="156">
        <v>0</v>
      </c>
      <c r="AS168" s="156">
        <v>0</v>
      </c>
      <c r="AT168" s="156">
        <f t="shared" si="16"/>
        <v>-11004.380000000001</v>
      </c>
    </row>
    <row r="169" spans="1:46" ht="11.25" hidden="1" outlineLevel="3">
      <c r="A169" s="155" t="s">
        <v>152</v>
      </c>
      <c r="D169" s="156" t="s">
        <v>64</v>
      </c>
      <c r="E169" s="156" t="s">
        <v>139</v>
      </c>
      <c r="F169" s="157">
        <v>0</v>
      </c>
      <c r="G169" s="157">
        <v>-98505</v>
      </c>
      <c r="H169" s="156">
        <v>-11661.02</v>
      </c>
      <c r="I169" s="156">
        <v>0</v>
      </c>
      <c r="J169" s="156">
        <v>0</v>
      </c>
      <c r="K169" s="156">
        <v>63.17</v>
      </c>
      <c r="L169" s="156">
        <v>0</v>
      </c>
      <c r="M169" s="156">
        <v>0</v>
      </c>
      <c r="N169" s="156">
        <f t="shared" si="15"/>
        <v>63.17</v>
      </c>
      <c r="O169" s="156">
        <v>0</v>
      </c>
      <c r="P169" s="156">
        <v>0</v>
      </c>
      <c r="Q169" s="156">
        <v>0</v>
      </c>
      <c r="R169" s="156">
        <v>0</v>
      </c>
      <c r="S169" s="156">
        <v>0</v>
      </c>
      <c r="T169" s="156">
        <v>0</v>
      </c>
      <c r="U169" s="156">
        <v>0</v>
      </c>
      <c r="V169" s="156">
        <v>0</v>
      </c>
      <c r="W169" s="156">
        <v>0</v>
      </c>
      <c r="X169" s="156">
        <v>0</v>
      </c>
      <c r="Y169" s="156">
        <v>0</v>
      </c>
      <c r="Z169" s="156">
        <v>-69.94</v>
      </c>
      <c r="AA169" s="156">
        <v>0</v>
      </c>
      <c r="AB169" s="156">
        <v>0</v>
      </c>
      <c r="AC169" s="156">
        <v>0</v>
      </c>
      <c r="AD169" s="156">
        <v>0</v>
      </c>
      <c r="AE169" s="156">
        <v>0</v>
      </c>
      <c r="AF169" s="156">
        <v>0</v>
      </c>
      <c r="AG169" s="156">
        <v>0</v>
      </c>
      <c r="AH169" s="156">
        <v>0</v>
      </c>
      <c r="AI169" s="156">
        <v>0</v>
      </c>
      <c r="AJ169" s="156">
        <v>0</v>
      </c>
      <c r="AK169" s="156">
        <v>0</v>
      </c>
      <c r="AL169" s="156">
        <v>-695.53</v>
      </c>
      <c r="AM169" s="156">
        <v>494.5</v>
      </c>
      <c r="AN169" s="156">
        <v>0</v>
      </c>
      <c r="AO169" s="156">
        <v>0</v>
      </c>
      <c r="AP169" s="156">
        <v>0</v>
      </c>
      <c r="AQ169" s="156">
        <v>0</v>
      </c>
      <c r="AR169" s="156">
        <v>0</v>
      </c>
      <c r="AS169" s="156">
        <v>0</v>
      </c>
      <c r="AT169" s="156">
        <f t="shared" si="16"/>
        <v>-11173.29</v>
      </c>
    </row>
    <row r="170" spans="1:46" ht="11.25" hidden="1" outlineLevel="3">
      <c r="A170" s="155" t="s">
        <v>152</v>
      </c>
      <c r="D170" s="156" t="s">
        <v>64</v>
      </c>
      <c r="E170" s="156" t="s">
        <v>139</v>
      </c>
      <c r="F170" s="157">
        <v>0</v>
      </c>
      <c r="G170" s="157">
        <v>-99180</v>
      </c>
      <c r="H170" s="156">
        <v>-11744.96</v>
      </c>
      <c r="I170" s="156">
        <v>0</v>
      </c>
      <c r="J170" s="156">
        <v>0</v>
      </c>
      <c r="K170" s="156">
        <v>75.67</v>
      </c>
      <c r="L170" s="156">
        <v>0</v>
      </c>
      <c r="M170" s="156">
        <v>0</v>
      </c>
      <c r="N170" s="156">
        <f t="shared" si="15"/>
        <v>75.67</v>
      </c>
      <c r="O170" s="156">
        <v>0</v>
      </c>
      <c r="P170" s="156">
        <v>0</v>
      </c>
      <c r="Q170" s="156">
        <v>0</v>
      </c>
      <c r="R170" s="156">
        <v>0</v>
      </c>
      <c r="S170" s="156">
        <v>0</v>
      </c>
      <c r="T170" s="156">
        <v>0</v>
      </c>
      <c r="U170" s="156">
        <v>0</v>
      </c>
      <c r="V170" s="156">
        <v>0</v>
      </c>
      <c r="W170" s="156">
        <v>0</v>
      </c>
      <c r="X170" s="156">
        <v>0</v>
      </c>
      <c r="Y170" s="156">
        <v>0</v>
      </c>
      <c r="Z170" s="156">
        <v>-70.42</v>
      </c>
      <c r="AA170" s="156">
        <v>0</v>
      </c>
      <c r="AB170" s="156">
        <v>0</v>
      </c>
      <c r="AC170" s="156">
        <v>0</v>
      </c>
      <c r="AD170" s="156">
        <v>0</v>
      </c>
      <c r="AE170" s="156">
        <v>0</v>
      </c>
      <c r="AF170" s="156">
        <v>0</v>
      </c>
      <c r="AG170" s="156">
        <v>0</v>
      </c>
      <c r="AH170" s="156">
        <v>0</v>
      </c>
      <c r="AI170" s="156">
        <v>0</v>
      </c>
      <c r="AJ170" s="156">
        <v>0</v>
      </c>
      <c r="AK170" s="156">
        <v>0</v>
      </c>
      <c r="AL170" s="156">
        <v>-882.48</v>
      </c>
      <c r="AM170" s="156">
        <v>497.89</v>
      </c>
      <c r="AN170" s="156">
        <v>0</v>
      </c>
      <c r="AO170" s="156">
        <v>0</v>
      </c>
      <c r="AP170" s="156">
        <v>0</v>
      </c>
      <c r="AQ170" s="156">
        <v>0</v>
      </c>
      <c r="AR170" s="156">
        <v>0</v>
      </c>
      <c r="AS170" s="156">
        <v>0</v>
      </c>
      <c r="AT170" s="156">
        <f t="shared" si="16"/>
        <v>-11241.82</v>
      </c>
    </row>
    <row r="171" spans="1:46" ht="11.25" hidden="1" outlineLevel="3">
      <c r="A171" s="155" t="s">
        <v>152</v>
      </c>
      <c r="D171" s="156" t="s">
        <v>64</v>
      </c>
      <c r="E171" s="156" t="s">
        <v>139</v>
      </c>
      <c r="F171" s="157">
        <v>0</v>
      </c>
      <c r="G171" s="157">
        <v>-99000</v>
      </c>
      <c r="H171" s="156">
        <v>-11723.65</v>
      </c>
      <c r="I171" s="156">
        <v>0</v>
      </c>
      <c r="J171" s="156">
        <v>0</v>
      </c>
      <c r="K171" s="156">
        <v>63.49</v>
      </c>
      <c r="L171" s="156">
        <v>0</v>
      </c>
      <c r="M171" s="156">
        <v>0</v>
      </c>
      <c r="N171" s="156">
        <f t="shared" si="15"/>
        <v>63.49</v>
      </c>
      <c r="O171" s="156">
        <v>0</v>
      </c>
      <c r="P171" s="156">
        <v>0</v>
      </c>
      <c r="Q171" s="156">
        <v>0</v>
      </c>
      <c r="R171" s="156">
        <v>0</v>
      </c>
      <c r="S171" s="156">
        <v>0</v>
      </c>
      <c r="T171" s="156">
        <v>0</v>
      </c>
      <c r="U171" s="156">
        <v>0</v>
      </c>
      <c r="V171" s="156">
        <v>0</v>
      </c>
      <c r="W171" s="156">
        <v>0</v>
      </c>
      <c r="X171" s="156">
        <v>0</v>
      </c>
      <c r="Y171" s="156">
        <v>0</v>
      </c>
      <c r="Z171" s="156">
        <v>-70.290000000000006</v>
      </c>
      <c r="AA171" s="156">
        <v>0</v>
      </c>
      <c r="AB171" s="156">
        <v>0</v>
      </c>
      <c r="AC171" s="156">
        <v>0</v>
      </c>
      <c r="AD171" s="156">
        <v>0</v>
      </c>
      <c r="AE171" s="156">
        <v>0</v>
      </c>
      <c r="AF171" s="156">
        <v>0</v>
      </c>
      <c r="AG171" s="156">
        <v>0</v>
      </c>
      <c r="AH171" s="156">
        <v>0</v>
      </c>
      <c r="AI171" s="156">
        <v>0</v>
      </c>
      <c r="AJ171" s="156">
        <v>0</v>
      </c>
      <c r="AK171" s="156">
        <v>0</v>
      </c>
      <c r="AL171" s="156">
        <v>-699.28</v>
      </c>
      <c r="AM171" s="156">
        <v>496.98</v>
      </c>
      <c r="AN171" s="156">
        <v>0</v>
      </c>
      <c r="AO171" s="156">
        <v>0</v>
      </c>
      <c r="AP171" s="156">
        <v>0</v>
      </c>
      <c r="AQ171" s="156">
        <v>0</v>
      </c>
      <c r="AR171" s="156">
        <v>0</v>
      </c>
      <c r="AS171" s="156">
        <v>0</v>
      </c>
      <c r="AT171" s="156">
        <f t="shared" si="16"/>
        <v>-11233.470000000001</v>
      </c>
    </row>
    <row r="172" spans="1:46" ht="11.25" hidden="1" outlineLevel="3">
      <c r="A172" s="155" t="s">
        <v>152</v>
      </c>
      <c r="D172" s="156" t="s">
        <v>64</v>
      </c>
      <c r="E172" s="156" t="s">
        <v>139</v>
      </c>
      <c r="F172" s="157">
        <v>0</v>
      </c>
      <c r="G172" s="157">
        <v>-95425</v>
      </c>
      <c r="H172" s="156">
        <v>-11297.78</v>
      </c>
      <c r="I172" s="156">
        <v>0</v>
      </c>
      <c r="J172" s="156">
        <v>0</v>
      </c>
      <c r="K172" s="156">
        <v>-215.42</v>
      </c>
      <c r="L172" s="156">
        <v>0</v>
      </c>
      <c r="M172" s="156">
        <v>0</v>
      </c>
      <c r="N172" s="156">
        <f t="shared" si="15"/>
        <v>-215.42</v>
      </c>
      <c r="O172" s="156">
        <v>0</v>
      </c>
      <c r="P172" s="156">
        <v>0</v>
      </c>
      <c r="Q172" s="156">
        <v>0</v>
      </c>
      <c r="R172" s="156">
        <v>0</v>
      </c>
      <c r="S172" s="156">
        <v>0</v>
      </c>
      <c r="T172" s="156">
        <v>0</v>
      </c>
      <c r="U172" s="156">
        <v>0</v>
      </c>
      <c r="V172" s="156">
        <v>0</v>
      </c>
      <c r="W172" s="156">
        <v>0</v>
      </c>
      <c r="X172" s="156">
        <v>0</v>
      </c>
      <c r="Y172" s="156">
        <v>0</v>
      </c>
      <c r="Z172" s="156">
        <v>-67.760000000000005</v>
      </c>
      <c r="AA172" s="156">
        <v>0</v>
      </c>
      <c r="AB172" s="156">
        <v>0</v>
      </c>
      <c r="AC172" s="156">
        <v>0</v>
      </c>
      <c r="AD172" s="156">
        <v>0</v>
      </c>
      <c r="AE172" s="156">
        <v>0</v>
      </c>
      <c r="AF172" s="156">
        <v>0</v>
      </c>
      <c r="AG172" s="156">
        <v>0</v>
      </c>
      <c r="AH172" s="156">
        <v>0</v>
      </c>
      <c r="AI172" s="156">
        <v>0</v>
      </c>
      <c r="AJ172" s="156">
        <v>0</v>
      </c>
      <c r="AK172" s="156">
        <v>0</v>
      </c>
      <c r="AL172" s="156">
        <v>0</v>
      </c>
      <c r="AM172" s="156">
        <v>479.04</v>
      </c>
      <c r="AN172" s="156">
        <v>0</v>
      </c>
      <c r="AO172" s="156">
        <v>0</v>
      </c>
      <c r="AP172" s="156">
        <v>0</v>
      </c>
      <c r="AQ172" s="156">
        <v>0</v>
      </c>
      <c r="AR172" s="156">
        <v>0</v>
      </c>
      <c r="AS172" s="156">
        <v>0</v>
      </c>
      <c r="AT172" s="156">
        <f t="shared" si="16"/>
        <v>-11101.92</v>
      </c>
    </row>
    <row r="173" spans="1:46" ht="11.25" hidden="1" outlineLevel="3">
      <c r="A173" s="155" t="s">
        <v>152</v>
      </c>
      <c r="D173" s="156" t="s">
        <v>64</v>
      </c>
      <c r="E173" s="156" t="s">
        <v>139</v>
      </c>
      <c r="F173" s="157">
        <v>0</v>
      </c>
      <c r="G173" s="157">
        <v>-90000</v>
      </c>
      <c r="H173" s="156">
        <v>-10663.51</v>
      </c>
      <c r="I173" s="156">
        <v>-408.28</v>
      </c>
      <c r="J173" s="156">
        <v>0</v>
      </c>
      <c r="K173" s="156">
        <v>68.67</v>
      </c>
      <c r="L173" s="156">
        <v>0</v>
      </c>
      <c r="M173" s="156">
        <v>0</v>
      </c>
      <c r="N173" s="156">
        <f t="shared" si="15"/>
        <v>68.67</v>
      </c>
      <c r="O173" s="156">
        <v>0</v>
      </c>
      <c r="P173" s="156">
        <v>0</v>
      </c>
      <c r="Q173" s="156">
        <v>0</v>
      </c>
      <c r="R173" s="156">
        <v>0</v>
      </c>
      <c r="S173" s="156">
        <v>0</v>
      </c>
      <c r="T173" s="156">
        <v>0</v>
      </c>
      <c r="U173" s="156">
        <v>0</v>
      </c>
      <c r="V173" s="156">
        <v>0</v>
      </c>
      <c r="W173" s="156">
        <v>0</v>
      </c>
      <c r="X173" s="156">
        <v>0</v>
      </c>
      <c r="Y173" s="156">
        <v>0</v>
      </c>
      <c r="Z173" s="156">
        <v>-63.9</v>
      </c>
      <c r="AA173" s="156">
        <v>0</v>
      </c>
      <c r="AB173" s="156">
        <v>0</v>
      </c>
      <c r="AC173" s="156">
        <v>0</v>
      </c>
      <c r="AD173" s="156">
        <v>0</v>
      </c>
      <c r="AE173" s="156">
        <v>0</v>
      </c>
      <c r="AF173" s="156">
        <v>0</v>
      </c>
      <c r="AG173" s="156">
        <v>0</v>
      </c>
      <c r="AH173" s="156">
        <v>0</v>
      </c>
      <c r="AI173" s="156">
        <v>0</v>
      </c>
      <c r="AJ173" s="156">
        <v>0</v>
      </c>
      <c r="AK173" s="156">
        <v>0</v>
      </c>
      <c r="AL173" s="156">
        <v>-801.24</v>
      </c>
      <c r="AM173" s="156">
        <v>451.8</v>
      </c>
      <c r="AN173" s="156">
        <v>0</v>
      </c>
      <c r="AO173" s="156">
        <v>0</v>
      </c>
      <c r="AP173" s="156">
        <v>0</v>
      </c>
      <c r="AQ173" s="156">
        <v>0</v>
      </c>
      <c r="AR173" s="156">
        <v>0</v>
      </c>
      <c r="AS173" s="156">
        <v>0</v>
      </c>
      <c r="AT173" s="156">
        <f t="shared" si="16"/>
        <v>-10615.220000000001</v>
      </c>
    </row>
    <row r="174" spans="1:46" ht="11.25" hidden="1" outlineLevel="3">
      <c r="A174" s="155" t="s">
        <v>131</v>
      </c>
      <c r="B174" s="155" t="s">
        <v>132</v>
      </c>
      <c r="C174" s="155" t="s">
        <v>133</v>
      </c>
      <c r="D174" s="156" t="s">
        <v>64</v>
      </c>
      <c r="E174" s="156" t="s">
        <v>139</v>
      </c>
      <c r="F174" s="157">
        <v>0</v>
      </c>
      <c r="G174" s="157">
        <v>861400</v>
      </c>
      <c r="H174" s="156">
        <v>63061.64</v>
      </c>
      <c r="I174" s="156">
        <v>2159.35</v>
      </c>
      <c r="J174" s="156">
        <v>0</v>
      </c>
      <c r="K174" s="156">
        <v>0</v>
      </c>
      <c r="L174" s="156">
        <v>25118.49</v>
      </c>
      <c r="M174" s="156">
        <v>0</v>
      </c>
      <c r="N174" s="156">
        <f t="shared" si="15"/>
        <v>25118.49</v>
      </c>
      <c r="O174" s="156">
        <v>3238.93</v>
      </c>
      <c r="P174" s="156">
        <v>4203.55</v>
      </c>
      <c r="Q174" s="156">
        <v>0</v>
      </c>
      <c r="R174" s="156">
        <v>0</v>
      </c>
      <c r="S174" s="156">
        <v>0</v>
      </c>
      <c r="T174" s="156">
        <v>18.18</v>
      </c>
      <c r="U174" s="156">
        <v>0</v>
      </c>
      <c r="V174" s="156">
        <v>0</v>
      </c>
      <c r="W174" s="156">
        <v>0</v>
      </c>
      <c r="X174" s="156">
        <v>0</v>
      </c>
      <c r="Y174" s="156">
        <v>1711.82</v>
      </c>
      <c r="Z174" s="156">
        <v>0</v>
      </c>
      <c r="AA174" s="156">
        <v>2816.67</v>
      </c>
      <c r="AB174" s="156">
        <v>0</v>
      </c>
      <c r="AC174" s="156">
        <v>0</v>
      </c>
      <c r="AD174" s="156">
        <v>0</v>
      </c>
      <c r="AE174" s="156">
        <v>0</v>
      </c>
      <c r="AF174" s="156">
        <v>0</v>
      </c>
      <c r="AG174" s="156">
        <v>0</v>
      </c>
      <c r="AH174" s="156">
        <v>0</v>
      </c>
      <c r="AI174" s="156">
        <v>0</v>
      </c>
      <c r="AJ174" s="156">
        <v>0</v>
      </c>
      <c r="AK174" s="156">
        <v>-2.87</v>
      </c>
      <c r="AL174" s="156">
        <v>7069.17</v>
      </c>
      <c r="AM174" s="156">
        <v>-13594.67</v>
      </c>
      <c r="AN174" s="156">
        <v>0</v>
      </c>
      <c r="AO174" s="156">
        <v>0</v>
      </c>
      <c r="AP174" s="156">
        <v>0</v>
      </c>
      <c r="AQ174" s="156">
        <v>0</v>
      </c>
      <c r="AR174" s="156">
        <v>0</v>
      </c>
      <c r="AS174" s="156">
        <v>0</v>
      </c>
      <c r="AT174" s="156">
        <f t="shared" si="16"/>
        <v>88733.959999999992</v>
      </c>
    </row>
    <row r="175" spans="1:46" ht="11.25" hidden="1" outlineLevel="3">
      <c r="A175" s="155" t="s">
        <v>131</v>
      </c>
      <c r="B175" s="155" t="s">
        <v>137</v>
      </c>
      <c r="C175" s="155" t="s">
        <v>133</v>
      </c>
      <c r="D175" s="156" t="s">
        <v>64</v>
      </c>
      <c r="E175" s="156" t="s">
        <v>139</v>
      </c>
      <c r="F175" s="157">
        <v>0</v>
      </c>
      <c r="G175" s="157">
        <v>33009</v>
      </c>
      <c r="H175" s="156">
        <v>2160.5700000000002</v>
      </c>
      <c r="I175" s="156">
        <v>124.63</v>
      </c>
      <c r="J175" s="156">
        <v>0</v>
      </c>
      <c r="K175" s="156">
        <v>0</v>
      </c>
      <c r="L175" s="156">
        <v>962.56</v>
      </c>
      <c r="M175" s="156">
        <v>0</v>
      </c>
      <c r="N175" s="156">
        <f t="shared" si="15"/>
        <v>962.56</v>
      </c>
      <c r="O175" s="156">
        <v>124.11</v>
      </c>
      <c r="P175" s="156">
        <v>161.07</v>
      </c>
      <c r="Q175" s="156">
        <v>0</v>
      </c>
      <c r="R175" s="156">
        <v>0</v>
      </c>
      <c r="S175" s="156">
        <v>0</v>
      </c>
      <c r="T175" s="156">
        <v>0</v>
      </c>
      <c r="U175" s="156">
        <v>0</v>
      </c>
      <c r="V175" s="156">
        <v>0</v>
      </c>
      <c r="W175" s="156">
        <v>0</v>
      </c>
      <c r="X175" s="156">
        <v>0</v>
      </c>
      <c r="Y175" s="156">
        <v>65.989999999999995</v>
      </c>
      <c r="Z175" s="156">
        <v>0</v>
      </c>
      <c r="AA175" s="156">
        <v>107.94</v>
      </c>
      <c r="AB175" s="156">
        <v>0</v>
      </c>
      <c r="AC175" s="156">
        <v>0</v>
      </c>
      <c r="AD175" s="156">
        <v>0</v>
      </c>
      <c r="AE175" s="156">
        <v>0</v>
      </c>
      <c r="AF175" s="156">
        <v>0</v>
      </c>
      <c r="AG175" s="156">
        <v>0</v>
      </c>
      <c r="AH175" s="156">
        <v>0</v>
      </c>
      <c r="AI175" s="156">
        <v>0</v>
      </c>
      <c r="AJ175" s="156">
        <v>0</v>
      </c>
      <c r="AK175" s="156">
        <v>0</v>
      </c>
      <c r="AL175" s="156">
        <v>307.82</v>
      </c>
      <c r="AM175" s="156">
        <v>-466.69</v>
      </c>
      <c r="AN175" s="156">
        <v>0</v>
      </c>
      <c r="AO175" s="156">
        <v>0</v>
      </c>
      <c r="AP175" s="156">
        <v>0</v>
      </c>
      <c r="AQ175" s="156">
        <v>0</v>
      </c>
      <c r="AR175" s="156">
        <v>0</v>
      </c>
      <c r="AS175" s="156">
        <v>0</v>
      </c>
      <c r="AT175" s="156">
        <f t="shared" si="16"/>
        <v>3240.1800000000003</v>
      </c>
    </row>
    <row r="176" spans="1:46" ht="11.25" hidden="1" outlineLevel="3">
      <c r="A176" s="155" t="s">
        <v>145</v>
      </c>
      <c r="B176" s="155" t="s">
        <v>146</v>
      </c>
      <c r="C176" s="155" t="s">
        <v>133</v>
      </c>
      <c r="D176" s="156" t="s">
        <v>64</v>
      </c>
      <c r="E176" s="156" t="s">
        <v>139</v>
      </c>
      <c r="F176" s="157">
        <v>0</v>
      </c>
      <c r="G176" s="157">
        <v>812522</v>
      </c>
      <c r="H176" s="156">
        <v>81509.95</v>
      </c>
      <c r="I176" s="156">
        <v>3503.21</v>
      </c>
      <c r="J176" s="156">
        <v>0</v>
      </c>
      <c r="K176" s="156">
        <v>0</v>
      </c>
      <c r="L176" s="156">
        <v>0</v>
      </c>
      <c r="M176" s="156">
        <v>23689.07</v>
      </c>
      <c r="N176" s="156">
        <f t="shared" si="15"/>
        <v>23689.07</v>
      </c>
      <c r="O176" s="156">
        <v>0</v>
      </c>
      <c r="P176" s="156">
        <v>0</v>
      </c>
      <c r="Q176" s="156">
        <v>1071.69</v>
      </c>
      <c r="R176" s="156">
        <v>0</v>
      </c>
      <c r="S176" s="156">
        <v>0</v>
      </c>
      <c r="T176" s="156">
        <v>0</v>
      </c>
      <c r="U176" s="156">
        <v>0</v>
      </c>
      <c r="V176" s="156">
        <v>0</v>
      </c>
      <c r="W176" s="156">
        <v>0</v>
      </c>
      <c r="X176" s="156">
        <v>0</v>
      </c>
      <c r="Y176" s="156">
        <v>0</v>
      </c>
      <c r="Z176" s="156">
        <v>0</v>
      </c>
      <c r="AA176" s="156">
        <v>0</v>
      </c>
      <c r="AB176" s="156">
        <v>0</v>
      </c>
      <c r="AC176" s="156">
        <v>0</v>
      </c>
      <c r="AD176" s="156">
        <v>0</v>
      </c>
      <c r="AE176" s="156">
        <v>0</v>
      </c>
      <c r="AF176" s="156">
        <v>0</v>
      </c>
      <c r="AG176" s="156">
        <v>0</v>
      </c>
      <c r="AH176" s="156">
        <v>0</v>
      </c>
      <c r="AI176" s="156">
        <v>517.47</v>
      </c>
      <c r="AJ176" s="156">
        <v>0</v>
      </c>
      <c r="AK176" s="156">
        <v>0</v>
      </c>
      <c r="AL176" s="156">
        <v>8871.2000000000007</v>
      </c>
      <c r="AM176" s="156">
        <v>0</v>
      </c>
      <c r="AN176" s="156">
        <v>0</v>
      </c>
      <c r="AO176" s="156">
        <v>8719.6299999999992</v>
      </c>
      <c r="AP176" s="156">
        <v>0</v>
      </c>
      <c r="AQ176" s="156">
        <v>0</v>
      </c>
      <c r="AR176" s="156">
        <v>0</v>
      </c>
      <c r="AS176" s="156">
        <v>0</v>
      </c>
      <c r="AT176" s="156">
        <f t="shared" si="16"/>
        <v>118493.55000000002</v>
      </c>
    </row>
    <row r="177" spans="1:46" ht="11.25" hidden="1" outlineLevel="3">
      <c r="A177" s="155" t="s">
        <v>145</v>
      </c>
      <c r="B177" s="155" t="s">
        <v>147</v>
      </c>
      <c r="C177" s="155" t="s">
        <v>133</v>
      </c>
      <c r="D177" s="156" t="s">
        <v>64</v>
      </c>
      <c r="E177" s="156" t="s">
        <v>139</v>
      </c>
      <c r="F177" s="157">
        <v>0</v>
      </c>
      <c r="G177" s="157">
        <v>436503</v>
      </c>
      <c r="H177" s="156">
        <v>44872.21</v>
      </c>
      <c r="I177" s="156">
        <v>1926.94</v>
      </c>
      <c r="J177" s="156">
        <v>0</v>
      </c>
      <c r="K177" s="156">
        <v>0</v>
      </c>
      <c r="L177" s="156">
        <v>0</v>
      </c>
      <c r="M177" s="156">
        <v>12685.05</v>
      </c>
      <c r="N177" s="156">
        <f t="shared" si="15"/>
        <v>12685.05</v>
      </c>
      <c r="O177" s="156">
        <v>0</v>
      </c>
      <c r="P177" s="156">
        <v>0</v>
      </c>
      <c r="Q177" s="156">
        <v>575.27</v>
      </c>
      <c r="R177" s="156">
        <v>0</v>
      </c>
      <c r="S177" s="156">
        <v>0</v>
      </c>
      <c r="T177" s="156">
        <v>0</v>
      </c>
      <c r="U177" s="156">
        <v>0</v>
      </c>
      <c r="V177" s="156">
        <v>0</v>
      </c>
      <c r="W177" s="156">
        <v>0</v>
      </c>
      <c r="X177" s="156">
        <v>0</v>
      </c>
      <c r="Y177" s="156">
        <v>0</v>
      </c>
      <c r="Z177" s="156">
        <v>0</v>
      </c>
      <c r="AA177" s="156">
        <v>0</v>
      </c>
      <c r="AB177" s="156">
        <v>0</v>
      </c>
      <c r="AC177" s="156">
        <v>0</v>
      </c>
      <c r="AD177" s="156">
        <v>0</v>
      </c>
      <c r="AE177" s="156">
        <v>0</v>
      </c>
      <c r="AF177" s="156">
        <v>0</v>
      </c>
      <c r="AG177" s="156">
        <v>0</v>
      </c>
      <c r="AH177" s="156">
        <v>0</v>
      </c>
      <c r="AI177" s="156">
        <v>285.86</v>
      </c>
      <c r="AJ177" s="156">
        <v>0</v>
      </c>
      <c r="AK177" s="156">
        <v>-2.72</v>
      </c>
      <c r="AL177" s="156">
        <v>4579.63</v>
      </c>
      <c r="AM177" s="156">
        <v>0</v>
      </c>
      <c r="AN177" s="156">
        <v>0</v>
      </c>
      <c r="AO177" s="156">
        <v>4680.28</v>
      </c>
      <c r="AP177" s="156">
        <v>0</v>
      </c>
      <c r="AQ177" s="156">
        <v>0</v>
      </c>
      <c r="AR177" s="156">
        <v>0</v>
      </c>
      <c r="AS177" s="156">
        <v>0</v>
      </c>
      <c r="AT177" s="156">
        <f t="shared" si="16"/>
        <v>64739.749999999993</v>
      </c>
    </row>
    <row r="178" spans="1:46" ht="11.25" hidden="1" outlineLevel="3">
      <c r="A178" s="155" t="s">
        <v>145</v>
      </c>
      <c r="B178" s="155" t="s">
        <v>137</v>
      </c>
      <c r="C178" s="155" t="s">
        <v>133</v>
      </c>
      <c r="D178" s="156" t="s">
        <v>64</v>
      </c>
      <c r="E178" s="156" t="s">
        <v>139</v>
      </c>
      <c r="F178" s="157">
        <v>0</v>
      </c>
      <c r="G178" s="157">
        <v>1</v>
      </c>
      <c r="H178" s="156">
        <v>20.09</v>
      </c>
      <c r="I178" s="156">
        <v>1.01</v>
      </c>
      <c r="J178" s="156">
        <v>0</v>
      </c>
      <c r="K178" s="156">
        <v>0</v>
      </c>
      <c r="L178" s="156">
        <v>0</v>
      </c>
      <c r="M178" s="156">
        <v>0.03</v>
      </c>
      <c r="N178" s="156">
        <f t="shared" si="15"/>
        <v>0.03</v>
      </c>
      <c r="O178" s="156">
        <v>0</v>
      </c>
      <c r="P178" s="156">
        <v>0</v>
      </c>
      <c r="Q178" s="156">
        <v>0</v>
      </c>
      <c r="R178" s="156">
        <v>0</v>
      </c>
      <c r="S178" s="156">
        <v>0</v>
      </c>
      <c r="T178" s="156">
        <v>0</v>
      </c>
      <c r="U178" s="156">
        <v>0</v>
      </c>
      <c r="V178" s="156">
        <v>0</v>
      </c>
      <c r="W178" s="156">
        <v>0</v>
      </c>
      <c r="X178" s="156">
        <v>0</v>
      </c>
      <c r="Y178" s="156">
        <v>0</v>
      </c>
      <c r="Z178" s="156">
        <v>0</v>
      </c>
      <c r="AA178" s="156">
        <v>0</v>
      </c>
      <c r="AB178" s="156">
        <v>0</v>
      </c>
      <c r="AC178" s="156">
        <v>0</v>
      </c>
      <c r="AD178" s="156">
        <v>0</v>
      </c>
      <c r="AE178" s="156">
        <v>0</v>
      </c>
      <c r="AF178" s="156">
        <v>0</v>
      </c>
      <c r="AG178" s="156">
        <v>0</v>
      </c>
      <c r="AH178" s="156">
        <v>0</v>
      </c>
      <c r="AI178" s="156">
        <v>0</v>
      </c>
      <c r="AJ178" s="156">
        <v>0</v>
      </c>
      <c r="AK178" s="156">
        <v>0</v>
      </c>
      <c r="AL178" s="156">
        <v>1.91</v>
      </c>
      <c r="AM178" s="156">
        <v>0</v>
      </c>
      <c r="AN178" s="156">
        <v>0</v>
      </c>
      <c r="AO178" s="156">
        <v>0.01</v>
      </c>
      <c r="AP178" s="156">
        <v>0</v>
      </c>
      <c r="AQ178" s="156">
        <v>0</v>
      </c>
      <c r="AR178" s="156">
        <v>0</v>
      </c>
      <c r="AS178" s="156">
        <v>0</v>
      </c>
      <c r="AT178" s="156">
        <f t="shared" si="16"/>
        <v>21.140000000000004</v>
      </c>
    </row>
    <row r="179" spans="1:46" ht="11.25" hidden="1" outlineLevel="3">
      <c r="A179" s="155" t="s">
        <v>152</v>
      </c>
      <c r="B179" s="155" t="s">
        <v>153</v>
      </c>
      <c r="C179" s="155" t="s">
        <v>133</v>
      </c>
      <c r="D179" s="156" t="s">
        <v>64</v>
      </c>
      <c r="E179" s="156" t="s">
        <v>139</v>
      </c>
      <c r="F179" s="157">
        <v>0</v>
      </c>
      <c r="G179" s="157">
        <v>2103522</v>
      </c>
      <c r="H179" s="156">
        <v>299835.68</v>
      </c>
      <c r="I179" s="156">
        <v>9198.39</v>
      </c>
      <c r="J179" s="156">
        <v>0</v>
      </c>
      <c r="K179" s="156">
        <v>2328</v>
      </c>
      <c r="L179" s="156">
        <v>0</v>
      </c>
      <c r="M179" s="156">
        <v>0</v>
      </c>
      <c r="N179" s="156">
        <f t="shared" si="15"/>
        <v>2328</v>
      </c>
      <c r="O179" s="156">
        <v>0</v>
      </c>
      <c r="P179" s="156">
        <v>0</v>
      </c>
      <c r="Q179" s="156">
        <v>0</v>
      </c>
      <c r="R179" s="156">
        <v>0</v>
      </c>
      <c r="S179" s="156">
        <v>0</v>
      </c>
      <c r="T179" s="156">
        <v>0</v>
      </c>
      <c r="U179" s="156">
        <v>0</v>
      </c>
      <c r="V179" s="156">
        <v>0</v>
      </c>
      <c r="W179" s="156">
        <v>0</v>
      </c>
      <c r="X179" s="156">
        <v>0</v>
      </c>
      <c r="Y179" s="156">
        <v>0</v>
      </c>
      <c r="Z179" s="156">
        <v>1493.38</v>
      </c>
      <c r="AA179" s="156">
        <v>0</v>
      </c>
      <c r="AB179" s="156">
        <v>0</v>
      </c>
      <c r="AC179" s="156">
        <v>0</v>
      </c>
      <c r="AD179" s="156">
        <v>0</v>
      </c>
      <c r="AE179" s="156">
        <v>0</v>
      </c>
      <c r="AF179" s="156">
        <v>0</v>
      </c>
      <c r="AG179" s="156">
        <v>0</v>
      </c>
      <c r="AH179" s="156">
        <v>0</v>
      </c>
      <c r="AI179" s="156">
        <v>4306.4399999999996</v>
      </c>
      <c r="AJ179" s="156">
        <v>0</v>
      </c>
      <c r="AK179" s="156">
        <v>-109.84</v>
      </c>
      <c r="AL179" s="156">
        <v>17567.810000000001</v>
      </c>
      <c r="AM179" s="156">
        <v>-10560.22</v>
      </c>
      <c r="AN179" s="156">
        <v>0</v>
      </c>
      <c r="AO179" s="156">
        <v>0</v>
      </c>
      <c r="AP179" s="156">
        <v>0</v>
      </c>
      <c r="AQ179" s="156">
        <v>0</v>
      </c>
      <c r="AR179" s="156">
        <v>-345.23</v>
      </c>
      <c r="AS179" s="156">
        <v>-220801.60899272701</v>
      </c>
      <c r="AT179" s="156">
        <f t="shared" si="16"/>
        <v>302295.23000000004</v>
      </c>
    </row>
    <row r="180" spans="1:46" ht="11.25" hidden="1" outlineLevel="3">
      <c r="A180" s="155" t="s">
        <v>152</v>
      </c>
      <c r="B180" s="155" t="s">
        <v>146</v>
      </c>
      <c r="C180" s="155" t="s">
        <v>133</v>
      </c>
      <c r="D180" s="156" t="s">
        <v>64</v>
      </c>
      <c r="E180" s="156" t="s">
        <v>139</v>
      </c>
      <c r="F180" s="157">
        <v>0</v>
      </c>
      <c r="G180" s="157">
        <v>233</v>
      </c>
      <c r="H180" s="156">
        <v>53.37</v>
      </c>
      <c r="I180" s="156">
        <v>2.64</v>
      </c>
      <c r="J180" s="156">
        <v>0</v>
      </c>
      <c r="K180" s="156">
        <v>0.38</v>
      </c>
      <c r="L180" s="156">
        <v>0</v>
      </c>
      <c r="M180" s="156">
        <v>0</v>
      </c>
      <c r="N180" s="156">
        <f t="shared" si="15"/>
        <v>0.38</v>
      </c>
      <c r="O180" s="156">
        <v>0</v>
      </c>
      <c r="P180" s="156">
        <v>0</v>
      </c>
      <c r="Q180" s="156">
        <v>0</v>
      </c>
      <c r="R180" s="156">
        <v>0</v>
      </c>
      <c r="S180" s="156">
        <v>0</v>
      </c>
      <c r="T180" s="156">
        <v>0</v>
      </c>
      <c r="U180" s="156">
        <v>0</v>
      </c>
      <c r="V180" s="156">
        <v>0</v>
      </c>
      <c r="W180" s="156">
        <v>0</v>
      </c>
      <c r="X180" s="156">
        <v>0</v>
      </c>
      <c r="Y180" s="156">
        <v>0</v>
      </c>
      <c r="Z180" s="156">
        <v>0.17</v>
      </c>
      <c r="AA180" s="156">
        <v>0</v>
      </c>
      <c r="AB180" s="156">
        <v>0</v>
      </c>
      <c r="AC180" s="156">
        <v>0</v>
      </c>
      <c r="AD180" s="156">
        <v>0</v>
      </c>
      <c r="AE180" s="156">
        <v>0</v>
      </c>
      <c r="AF180" s="156">
        <v>0</v>
      </c>
      <c r="AG180" s="156">
        <v>0</v>
      </c>
      <c r="AH180" s="156">
        <v>0</v>
      </c>
      <c r="AI180" s="156">
        <v>0</v>
      </c>
      <c r="AJ180" s="156">
        <v>0</v>
      </c>
      <c r="AK180" s="156">
        <v>0</v>
      </c>
      <c r="AL180" s="156">
        <v>4.16</v>
      </c>
      <c r="AM180" s="156">
        <v>-1.17</v>
      </c>
      <c r="AN180" s="156">
        <v>0</v>
      </c>
      <c r="AO180" s="156">
        <v>0</v>
      </c>
      <c r="AP180" s="156">
        <v>0</v>
      </c>
      <c r="AQ180" s="156">
        <v>0</v>
      </c>
      <c r="AR180" s="156">
        <v>0</v>
      </c>
      <c r="AS180" s="156">
        <v>0</v>
      </c>
      <c r="AT180" s="156">
        <f t="shared" si="16"/>
        <v>55.39</v>
      </c>
    </row>
    <row r="181" spans="1:46" ht="11.25" hidden="1" outlineLevel="3">
      <c r="A181" s="155" t="s">
        <v>152</v>
      </c>
      <c r="B181" s="155" t="s">
        <v>154</v>
      </c>
      <c r="C181" s="155" t="s">
        <v>133</v>
      </c>
      <c r="D181" s="156" t="s">
        <v>64</v>
      </c>
      <c r="E181" s="156" t="s">
        <v>139</v>
      </c>
      <c r="F181" s="157">
        <v>0</v>
      </c>
      <c r="G181" s="157">
        <v>2452685</v>
      </c>
      <c r="H181" s="156">
        <v>345000.5</v>
      </c>
      <c r="I181" s="156">
        <v>7349.55</v>
      </c>
      <c r="J181" s="156">
        <v>0</v>
      </c>
      <c r="K181" s="156">
        <v>5423.44</v>
      </c>
      <c r="L181" s="156">
        <v>0</v>
      </c>
      <c r="M181" s="156">
        <v>0</v>
      </c>
      <c r="N181" s="156">
        <f t="shared" si="15"/>
        <v>5423.44</v>
      </c>
      <c r="O181" s="156">
        <v>0</v>
      </c>
      <c r="P181" s="156">
        <v>0</v>
      </c>
      <c r="Q181" s="156">
        <v>0</v>
      </c>
      <c r="R181" s="156">
        <v>0</v>
      </c>
      <c r="S181" s="156">
        <v>0</v>
      </c>
      <c r="T181" s="156">
        <v>0</v>
      </c>
      <c r="U181" s="156">
        <v>0</v>
      </c>
      <c r="V181" s="156">
        <v>0</v>
      </c>
      <c r="W181" s="156">
        <v>0</v>
      </c>
      <c r="X181" s="156">
        <v>0</v>
      </c>
      <c r="Y181" s="156">
        <v>0</v>
      </c>
      <c r="Z181" s="156">
        <v>1741.01</v>
      </c>
      <c r="AA181" s="156">
        <v>0</v>
      </c>
      <c r="AB181" s="156">
        <v>0</v>
      </c>
      <c r="AC181" s="156">
        <v>0</v>
      </c>
      <c r="AD181" s="156">
        <v>0</v>
      </c>
      <c r="AE181" s="156">
        <v>0</v>
      </c>
      <c r="AF181" s="156">
        <v>0</v>
      </c>
      <c r="AG181" s="156">
        <v>0</v>
      </c>
      <c r="AH181" s="156">
        <v>0</v>
      </c>
      <c r="AI181" s="156">
        <v>3687.79</v>
      </c>
      <c r="AJ181" s="156">
        <v>0</v>
      </c>
      <c r="AK181" s="156">
        <v>-53.37</v>
      </c>
      <c r="AL181" s="156">
        <v>19491.53</v>
      </c>
      <c r="AM181" s="156">
        <v>-12313.31</v>
      </c>
      <c r="AN181" s="156">
        <v>0</v>
      </c>
      <c r="AO181" s="156">
        <v>0</v>
      </c>
      <c r="AP181" s="156">
        <v>0</v>
      </c>
      <c r="AQ181" s="156">
        <v>0</v>
      </c>
      <c r="AR181" s="156">
        <v>-1115.3699999999999</v>
      </c>
      <c r="AS181" s="156">
        <v>-46453.832378223502</v>
      </c>
      <c r="AT181" s="156">
        <f t="shared" si="16"/>
        <v>347201.19</v>
      </c>
    </row>
    <row r="182" spans="1:46" ht="11.25" hidden="1" outlineLevel="3">
      <c r="A182" s="155" t="s">
        <v>152</v>
      </c>
      <c r="B182" s="155" t="s">
        <v>155</v>
      </c>
      <c r="C182" s="155" t="s">
        <v>133</v>
      </c>
      <c r="D182" s="156" t="s">
        <v>64</v>
      </c>
      <c r="E182" s="156" t="s">
        <v>139</v>
      </c>
      <c r="F182" s="157">
        <v>0</v>
      </c>
      <c r="G182" s="157">
        <v>-4811092</v>
      </c>
      <c r="H182" s="156">
        <v>-496671.35</v>
      </c>
      <c r="I182" s="156">
        <v>6385.36</v>
      </c>
      <c r="J182" s="156">
        <v>0</v>
      </c>
      <c r="K182" s="156">
        <v>-26533.93</v>
      </c>
      <c r="L182" s="156">
        <v>0</v>
      </c>
      <c r="M182" s="156">
        <v>0</v>
      </c>
      <c r="N182" s="156">
        <f t="shared" si="15"/>
        <v>-26533.93</v>
      </c>
      <c r="O182" s="156">
        <v>0</v>
      </c>
      <c r="P182" s="156">
        <v>0</v>
      </c>
      <c r="Q182" s="156">
        <v>0</v>
      </c>
      <c r="R182" s="156">
        <v>0</v>
      </c>
      <c r="S182" s="156">
        <v>0</v>
      </c>
      <c r="T182" s="156">
        <v>0</v>
      </c>
      <c r="U182" s="156">
        <v>0</v>
      </c>
      <c r="V182" s="156">
        <v>0</v>
      </c>
      <c r="W182" s="156">
        <v>0</v>
      </c>
      <c r="X182" s="156">
        <v>0</v>
      </c>
      <c r="Y182" s="156">
        <v>0</v>
      </c>
      <c r="Z182" s="156">
        <v>-3415.51</v>
      </c>
      <c r="AA182" s="156">
        <v>0</v>
      </c>
      <c r="AB182" s="156">
        <v>0</v>
      </c>
      <c r="AC182" s="156">
        <v>0</v>
      </c>
      <c r="AD182" s="156">
        <v>0</v>
      </c>
      <c r="AE182" s="156">
        <v>0</v>
      </c>
      <c r="AF182" s="156">
        <v>0</v>
      </c>
      <c r="AG182" s="156">
        <v>0</v>
      </c>
      <c r="AH182" s="156">
        <v>0</v>
      </c>
      <c r="AI182" s="156">
        <v>4383.55</v>
      </c>
      <c r="AJ182" s="156">
        <v>20</v>
      </c>
      <c r="AK182" s="156">
        <v>-60.63</v>
      </c>
      <c r="AL182" s="156">
        <v>27120.55</v>
      </c>
      <c r="AM182" s="156">
        <v>24150.75</v>
      </c>
      <c r="AN182" s="156">
        <v>0</v>
      </c>
      <c r="AO182" s="156">
        <v>0</v>
      </c>
      <c r="AP182" s="156">
        <v>0</v>
      </c>
      <c r="AQ182" s="156">
        <v>0</v>
      </c>
      <c r="AR182" s="156">
        <v>-62.27</v>
      </c>
      <c r="AS182" s="156">
        <v>-461520.02332672098</v>
      </c>
      <c r="AT182" s="156">
        <f t="shared" si="16"/>
        <v>-496084.68</v>
      </c>
    </row>
    <row r="183" spans="1:46" ht="11.25" hidden="1" outlineLevel="3">
      <c r="A183" s="155" t="s">
        <v>152</v>
      </c>
      <c r="B183" s="155" t="s">
        <v>156</v>
      </c>
      <c r="C183" s="155" t="s">
        <v>133</v>
      </c>
      <c r="D183" s="156" t="s">
        <v>64</v>
      </c>
      <c r="E183" s="156" t="s">
        <v>139</v>
      </c>
      <c r="F183" s="157">
        <v>0</v>
      </c>
      <c r="G183" s="157">
        <v>1314</v>
      </c>
      <c r="H183" s="156">
        <v>263.47000000000003</v>
      </c>
      <c r="I183" s="156">
        <v>10.16</v>
      </c>
      <c r="J183" s="156">
        <v>0</v>
      </c>
      <c r="K183" s="156">
        <v>3.28</v>
      </c>
      <c r="L183" s="156">
        <v>0</v>
      </c>
      <c r="M183" s="156">
        <v>0</v>
      </c>
      <c r="N183" s="156">
        <f t="shared" si="15"/>
        <v>3.28</v>
      </c>
      <c r="O183" s="156">
        <v>0</v>
      </c>
      <c r="P183" s="156">
        <v>0</v>
      </c>
      <c r="Q183" s="156">
        <v>0</v>
      </c>
      <c r="R183" s="156">
        <v>0</v>
      </c>
      <c r="S183" s="156">
        <v>0</v>
      </c>
      <c r="T183" s="156">
        <v>0</v>
      </c>
      <c r="U183" s="156">
        <v>0</v>
      </c>
      <c r="V183" s="156">
        <v>0</v>
      </c>
      <c r="W183" s="156">
        <v>0</v>
      </c>
      <c r="X183" s="156">
        <v>0</v>
      </c>
      <c r="Y183" s="156">
        <v>0</v>
      </c>
      <c r="Z183" s="156">
        <v>0.92</v>
      </c>
      <c r="AA183" s="156">
        <v>0</v>
      </c>
      <c r="AB183" s="156">
        <v>0</v>
      </c>
      <c r="AC183" s="156">
        <v>0</v>
      </c>
      <c r="AD183" s="156">
        <v>0</v>
      </c>
      <c r="AE183" s="156">
        <v>0</v>
      </c>
      <c r="AF183" s="156">
        <v>0</v>
      </c>
      <c r="AG183" s="156">
        <v>0</v>
      </c>
      <c r="AH183" s="156">
        <v>0</v>
      </c>
      <c r="AI183" s="156">
        <v>0</v>
      </c>
      <c r="AJ183" s="156">
        <v>0</v>
      </c>
      <c r="AK183" s="156">
        <v>0</v>
      </c>
      <c r="AL183" s="156">
        <v>21.13</v>
      </c>
      <c r="AM183" s="156">
        <v>-6.6</v>
      </c>
      <c r="AN183" s="156">
        <v>0</v>
      </c>
      <c r="AO183" s="156">
        <v>0</v>
      </c>
      <c r="AP183" s="156">
        <v>0</v>
      </c>
      <c r="AQ183" s="156">
        <v>0</v>
      </c>
      <c r="AR183" s="156">
        <v>0</v>
      </c>
      <c r="AS183" s="156">
        <v>0</v>
      </c>
      <c r="AT183" s="156">
        <f t="shared" si="16"/>
        <v>271.23</v>
      </c>
    </row>
    <row r="184" spans="1:46" ht="11.25" hidden="1" outlineLevel="3">
      <c r="A184" s="155" t="s">
        <v>152</v>
      </c>
      <c r="B184" s="155" t="s">
        <v>132</v>
      </c>
      <c r="C184" s="155" t="s">
        <v>133</v>
      </c>
      <c r="D184" s="156" t="s">
        <v>64</v>
      </c>
      <c r="E184" s="156" t="s">
        <v>139</v>
      </c>
      <c r="F184" s="157">
        <v>0</v>
      </c>
      <c r="G184" s="157">
        <v>11324</v>
      </c>
      <c r="H184" s="156">
        <v>1553.37</v>
      </c>
      <c r="I184" s="156">
        <v>65.739999999999995</v>
      </c>
      <c r="J184" s="156">
        <v>0</v>
      </c>
      <c r="K184" s="156">
        <v>0.01</v>
      </c>
      <c r="L184" s="156">
        <v>0</v>
      </c>
      <c r="M184" s="156">
        <v>0</v>
      </c>
      <c r="N184" s="156">
        <f t="shared" si="15"/>
        <v>0.01</v>
      </c>
      <c r="O184" s="156">
        <v>0</v>
      </c>
      <c r="P184" s="156">
        <v>0</v>
      </c>
      <c r="Q184" s="156">
        <v>0</v>
      </c>
      <c r="R184" s="156">
        <v>0</v>
      </c>
      <c r="S184" s="156">
        <v>0</v>
      </c>
      <c r="T184" s="156">
        <v>0</v>
      </c>
      <c r="U184" s="156">
        <v>0</v>
      </c>
      <c r="V184" s="156">
        <v>0</v>
      </c>
      <c r="W184" s="156">
        <v>0</v>
      </c>
      <c r="X184" s="156">
        <v>0</v>
      </c>
      <c r="Y184" s="156">
        <v>0</v>
      </c>
      <c r="Z184" s="156">
        <v>8.0399999999999991</v>
      </c>
      <c r="AA184" s="156">
        <v>0</v>
      </c>
      <c r="AB184" s="156">
        <v>0</v>
      </c>
      <c r="AC184" s="156">
        <v>0</v>
      </c>
      <c r="AD184" s="156">
        <v>0</v>
      </c>
      <c r="AE184" s="156">
        <v>0</v>
      </c>
      <c r="AF184" s="156">
        <v>0</v>
      </c>
      <c r="AG184" s="156">
        <v>0</v>
      </c>
      <c r="AH184" s="156">
        <v>0</v>
      </c>
      <c r="AI184" s="156">
        <v>3.94</v>
      </c>
      <c r="AJ184" s="156">
        <v>0</v>
      </c>
      <c r="AK184" s="156">
        <v>0</v>
      </c>
      <c r="AL184" s="156">
        <v>111.23</v>
      </c>
      <c r="AM184" s="156">
        <v>-56.85</v>
      </c>
      <c r="AN184" s="156">
        <v>0</v>
      </c>
      <c r="AO184" s="156">
        <v>0</v>
      </c>
      <c r="AP184" s="156">
        <v>0</v>
      </c>
      <c r="AQ184" s="156">
        <v>0</v>
      </c>
      <c r="AR184" s="156">
        <v>0</v>
      </c>
      <c r="AS184" s="156">
        <v>0</v>
      </c>
      <c r="AT184" s="156">
        <f t="shared" si="16"/>
        <v>1570.31</v>
      </c>
    </row>
    <row r="185" spans="1:46" ht="11.25" hidden="1" outlineLevel="3">
      <c r="A185" s="155" t="s">
        <v>152</v>
      </c>
      <c r="B185" s="155" t="s">
        <v>157</v>
      </c>
      <c r="C185" s="155" t="s">
        <v>133</v>
      </c>
      <c r="D185" s="156" t="s">
        <v>64</v>
      </c>
      <c r="E185" s="156" t="s">
        <v>139</v>
      </c>
      <c r="F185" s="157">
        <v>0</v>
      </c>
      <c r="G185" s="157">
        <v>6098836</v>
      </c>
      <c r="H185" s="156">
        <v>827594.57</v>
      </c>
      <c r="I185" s="156">
        <v>40650.589999999997</v>
      </c>
      <c r="J185" s="156">
        <v>0</v>
      </c>
      <c r="K185" s="156">
        <v>10461.77</v>
      </c>
      <c r="L185" s="156">
        <v>0</v>
      </c>
      <c r="M185" s="156">
        <v>0</v>
      </c>
      <c r="N185" s="156">
        <f t="shared" si="15"/>
        <v>10461.77</v>
      </c>
      <c r="O185" s="156">
        <v>0</v>
      </c>
      <c r="P185" s="156">
        <v>0</v>
      </c>
      <c r="Q185" s="156">
        <v>0</v>
      </c>
      <c r="R185" s="156">
        <v>0</v>
      </c>
      <c r="S185" s="156">
        <v>0</v>
      </c>
      <c r="T185" s="156">
        <v>55.9</v>
      </c>
      <c r="U185" s="156">
        <v>0</v>
      </c>
      <c r="V185" s="156">
        <v>0</v>
      </c>
      <c r="W185" s="156">
        <v>0</v>
      </c>
      <c r="X185" s="156">
        <v>0</v>
      </c>
      <c r="Y185" s="156">
        <v>0</v>
      </c>
      <c r="Z185" s="156">
        <v>4289.01</v>
      </c>
      <c r="AA185" s="156">
        <v>0</v>
      </c>
      <c r="AB185" s="156">
        <v>0</v>
      </c>
      <c r="AC185" s="156">
        <v>0</v>
      </c>
      <c r="AD185" s="156">
        <v>0</v>
      </c>
      <c r="AE185" s="156">
        <v>0</v>
      </c>
      <c r="AF185" s="156">
        <v>0</v>
      </c>
      <c r="AG185" s="156">
        <v>0</v>
      </c>
      <c r="AH185" s="156">
        <v>0</v>
      </c>
      <c r="AI185" s="156">
        <v>9724.7800000000007</v>
      </c>
      <c r="AJ185" s="156">
        <v>60</v>
      </c>
      <c r="AK185" s="156">
        <v>-266.45</v>
      </c>
      <c r="AL185" s="156">
        <v>53422.43</v>
      </c>
      <c r="AM185" s="156">
        <v>-30617.34</v>
      </c>
      <c r="AN185" s="156">
        <v>0</v>
      </c>
      <c r="AO185" s="156">
        <v>0</v>
      </c>
      <c r="AP185" s="156">
        <v>0</v>
      </c>
      <c r="AQ185" s="156">
        <v>0</v>
      </c>
      <c r="AR185" s="156">
        <v>-686.56</v>
      </c>
      <c r="AS185" s="156">
        <v>-81348.481926383101</v>
      </c>
      <c r="AT185" s="156">
        <f t="shared" si="16"/>
        <v>852434.5</v>
      </c>
    </row>
    <row r="186" spans="1:46" ht="11.25" hidden="1" outlineLevel="3">
      <c r="A186" s="155" t="s">
        <v>152</v>
      </c>
      <c r="B186" s="155" t="s">
        <v>137</v>
      </c>
      <c r="C186" s="155" t="s">
        <v>133</v>
      </c>
      <c r="D186" s="156" t="s">
        <v>64</v>
      </c>
      <c r="E186" s="156" t="s">
        <v>139</v>
      </c>
      <c r="F186" s="157">
        <v>0</v>
      </c>
      <c r="G186" s="157">
        <v>3524746</v>
      </c>
      <c r="H186" s="156">
        <v>481099.16</v>
      </c>
      <c r="I186" s="156">
        <v>11470.7</v>
      </c>
      <c r="J186" s="156">
        <v>0</v>
      </c>
      <c r="K186" s="156">
        <v>1589.69</v>
      </c>
      <c r="L186" s="156">
        <v>0</v>
      </c>
      <c r="M186" s="156">
        <v>0</v>
      </c>
      <c r="N186" s="156">
        <f t="shared" si="15"/>
        <v>1589.69</v>
      </c>
      <c r="O186" s="156">
        <v>0</v>
      </c>
      <c r="P186" s="156">
        <v>0</v>
      </c>
      <c r="Q186" s="156">
        <v>0</v>
      </c>
      <c r="R186" s="156">
        <v>0</v>
      </c>
      <c r="S186" s="156">
        <v>0</v>
      </c>
      <c r="T186" s="156">
        <v>0</v>
      </c>
      <c r="U186" s="156">
        <v>0</v>
      </c>
      <c r="V186" s="156">
        <v>0</v>
      </c>
      <c r="W186" s="156">
        <v>0</v>
      </c>
      <c r="X186" s="156">
        <v>0</v>
      </c>
      <c r="Y186" s="156">
        <v>0</v>
      </c>
      <c r="Z186" s="156">
        <v>2494.75</v>
      </c>
      <c r="AA186" s="156">
        <v>0</v>
      </c>
      <c r="AB186" s="156">
        <v>0</v>
      </c>
      <c r="AC186" s="156">
        <v>0</v>
      </c>
      <c r="AD186" s="156">
        <v>0</v>
      </c>
      <c r="AE186" s="156">
        <v>0</v>
      </c>
      <c r="AF186" s="156">
        <v>0</v>
      </c>
      <c r="AG186" s="156">
        <v>0</v>
      </c>
      <c r="AH186" s="156">
        <v>0</v>
      </c>
      <c r="AI186" s="156">
        <v>5422.01</v>
      </c>
      <c r="AJ186" s="156">
        <v>20</v>
      </c>
      <c r="AK186" s="156">
        <v>-66.53</v>
      </c>
      <c r="AL186" s="156">
        <v>26415.93</v>
      </c>
      <c r="AM186" s="156">
        <v>-17694.71</v>
      </c>
      <c r="AN186" s="156">
        <v>0</v>
      </c>
      <c r="AO186" s="156">
        <v>0</v>
      </c>
      <c r="AP186" s="156">
        <v>0</v>
      </c>
      <c r="AQ186" s="156">
        <v>0</v>
      </c>
      <c r="AR186" s="156">
        <v>-2.68</v>
      </c>
      <c r="AS186" s="156">
        <v>-601.28205128205104</v>
      </c>
      <c r="AT186" s="156">
        <f t="shared" si="16"/>
        <v>478959.58999999997</v>
      </c>
    </row>
    <row r="187" spans="1:46" ht="11.25" hidden="1" outlineLevel="3">
      <c r="A187" s="155" t="s">
        <v>152</v>
      </c>
      <c r="B187" s="155" t="s">
        <v>158</v>
      </c>
      <c r="C187" s="155" t="s">
        <v>133</v>
      </c>
      <c r="D187" s="156" t="s">
        <v>64</v>
      </c>
      <c r="E187" s="156" t="s">
        <v>139</v>
      </c>
      <c r="F187" s="157">
        <v>0</v>
      </c>
      <c r="G187" s="157">
        <v>3362120</v>
      </c>
      <c r="H187" s="156">
        <v>464902.56</v>
      </c>
      <c r="I187" s="156">
        <v>8917.58</v>
      </c>
      <c r="J187" s="156">
        <v>0</v>
      </c>
      <c r="K187" s="156">
        <v>4148.82</v>
      </c>
      <c r="L187" s="156">
        <v>0</v>
      </c>
      <c r="M187" s="156">
        <v>0</v>
      </c>
      <c r="N187" s="156">
        <f t="shared" si="15"/>
        <v>4148.82</v>
      </c>
      <c r="O187" s="156">
        <v>0</v>
      </c>
      <c r="P187" s="156">
        <v>0</v>
      </c>
      <c r="Q187" s="156">
        <v>0</v>
      </c>
      <c r="R187" s="156">
        <v>0</v>
      </c>
      <c r="S187" s="156">
        <v>0</v>
      </c>
      <c r="T187" s="156">
        <v>0</v>
      </c>
      <c r="U187" s="156">
        <v>0</v>
      </c>
      <c r="V187" s="156">
        <v>0</v>
      </c>
      <c r="W187" s="156">
        <v>0</v>
      </c>
      <c r="X187" s="156">
        <v>0</v>
      </c>
      <c r="Y187" s="156">
        <v>0</v>
      </c>
      <c r="Z187" s="156">
        <v>2386.81</v>
      </c>
      <c r="AA187" s="156">
        <v>0</v>
      </c>
      <c r="AB187" s="156">
        <v>0</v>
      </c>
      <c r="AC187" s="156">
        <v>0</v>
      </c>
      <c r="AD187" s="156">
        <v>0</v>
      </c>
      <c r="AE187" s="156">
        <v>0</v>
      </c>
      <c r="AF187" s="156">
        <v>0</v>
      </c>
      <c r="AG187" s="156">
        <v>0</v>
      </c>
      <c r="AH187" s="156">
        <v>0</v>
      </c>
      <c r="AI187" s="156">
        <v>5873.35</v>
      </c>
      <c r="AJ187" s="156">
        <v>0</v>
      </c>
      <c r="AK187" s="156">
        <v>-351.28</v>
      </c>
      <c r="AL187" s="156">
        <v>29306.32</v>
      </c>
      <c r="AM187" s="156">
        <v>-16878.11</v>
      </c>
      <c r="AN187" s="156">
        <v>0</v>
      </c>
      <c r="AO187" s="156">
        <v>0</v>
      </c>
      <c r="AP187" s="156">
        <v>0</v>
      </c>
      <c r="AQ187" s="156">
        <v>0</v>
      </c>
      <c r="AR187" s="156">
        <v>-193.5</v>
      </c>
      <c r="AS187" s="156">
        <v>-2884.6153846153802</v>
      </c>
      <c r="AT187" s="156">
        <f t="shared" si="16"/>
        <v>463477.66000000003</v>
      </c>
    </row>
    <row r="188" spans="1:46" ht="11.25" hidden="1" outlineLevel="3">
      <c r="A188" s="155" t="s">
        <v>152</v>
      </c>
      <c r="B188" s="155" t="s">
        <v>161</v>
      </c>
      <c r="C188" s="155" t="s">
        <v>133</v>
      </c>
      <c r="D188" s="156" t="s">
        <v>64</v>
      </c>
      <c r="E188" s="156" t="s">
        <v>139</v>
      </c>
      <c r="F188" s="157">
        <v>0</v>
      </c>
      <c r="G188" s="157">
        <v>8015</v>
      </c>
      <c r="H188" s="156">
        <v>1041.04</v>
      </c>
      <c r="I188" s="156">
        <v>0</v>
      </c>
      <c r="J188" s="156">
        <v>0</v>
      </c>
      <c r="K188" s="156">
        <v>15</v>
      </c>
      <c r="L188" s="156">
        <v>0</v>
      </c>
      <c r="M188" s="156">
        <v>0</v>
      </c>
      <c r="N188" s="156">
        <f t="shared" si="15"/>
        <v>15</v>
      </c>
      <c r="O188" s="156">
        <v>0</v>
      </c>
      <c r="P188" s="156">
        <v>0</v>
      </c>
      <c r="Q188" s="156">
        <v>0</v>
      </c>
      <c r="R188" s="156">
        <v>0</v>
      </c>
      <c r="S188" s="156">
        <v>0</v>
      </c>
      <c r="T188" s="156">
        <v>0</v>
      </c>
      <c r="U188" s="156">
        <v>0</v>
      </c>
      <c r="V188" s="156">
        <v>0</v>
      </c>
      <c r="W188" s="156">
        <v>0</v>
      </c>
      <c r="X188" s="156">
        <v>0</v>
      </c>
      <c r="Y188" s="156">
        <v>0</v>
      </c>
      <c r="Z188" s="156">
        <v>5.69</v>
      </c>
      <c r="AA188" s="156">
        <v>0</v>
      </c>
      <c r="AB188" s="156">
        <v>0</v>
      </c>
      <c r="AC188" s="156">
        <v>0</v>
      </c>
      <c r="AD188" s="156">
        <v>0</v>
      </c>
      <c r="AE188" s="156">
        <v>0</v>
      </c>
      <c r="AF188" s="156">
        <v>0</v>
      </c>
      <c r="AG188" s="156">
        <v>0</v>
      </c>
      <c r="AH188" s="156">
        <v>0</v>
      </c>
      <c r="AI188" s="156">
        <v>8.41</v>
      </c>
      <c r="AJ188" s="156">
        <v>0</v>
      </c>
      <c r="AK188" s="156">
        <v>0</v>
      </c>
      <c r="AL188" s="156">
        <v>30.65</v>
      </c>
      <c r="AM188" s="156">
        <v>-40.24</v>
      </c>
      <c r="AN188" s="156">
        <v>0</v>
      </c>
      <c r="AO188" s="156">
        <v>0</v>
      </c>
      <c r="AP188" s="156">
        <v>0</v>
      </c>
      <c r="AQ188" s="156">
        <v>0</v>
      </c>
      <c r="AR188" s="156">
        <v>0</v>
      </c>
      <c r="AS188" s="156">
        <v>0</v>
      </c>
      <c r="AT188" s="156">
        <f t="shared" si="16"/>
        <v>1021.49</v>
      </c>
    </row>
    <row r="189" spans="1:46" ht="11.25" hidden="1" outlineLevel="3">
      <c r="A189" s="155" t="s">
        <v>152</v>
      </c>
      <c r="B189" s="155" t="s">
        <v>159</v>
      </c>
      <c r="C189" s="155" t="s">
        <v>133</v>
      </c>
      <c r="D189" s="156" t="s">
        <v>64</v>
      </c>
      <c r="E189" s="156" t="s">
        <v>139</v>
      </c>
      <c r="F189" s="157">
        <v>0</v>
      </c>
      <c r="G189" s="157">
        <v>490933</v>
      </c>
      <c r="H189" s="156">
        <v>70066.41</v>
      </c>
      <c r="I189" s="156">
        <v>1615.23</v>
      </c>
      <c r="J189" s="156">
        <v>0</v>
      </c>
      <c r="K189" s="156">
        <v>998.52</v>
      </c>
      <c r="L189" s="156">
        <v>0</v>
      </c>
      <c r="M189" s="156">
        <v>0</v>
      </c>
      <c r="N189" s="156">
        <f t="shared" si="15"/>
        <v>998.52</v>
      </c>
      <c r="O189" s="156">
        <v>0</v>
      </c>
      <c r="P189" s="156">
        <v>0</v>
      </c>
      <c r="Q189" s="156">
        <v>0</v>
      </c>
      <c r="R189" s="156">
        <v>0</v>
      </c>
      <c r="S189" s="156">
        <v>0</v>
      </c>
      <c r="T189" s="156">
        <v>0</v>
      </c>
      <c r="U189" s="156">
        <v>0</v>
      </c>
      <c r="V189" s="156">
        <v>0</v>
      </c>
      <c r="W189" s="156">
        <v>0</v>
      </c>
      <c r="X189" s="156">
        <v>0</v>
      </c>
      <c r="Y189" s="156">
        <v>0</v>
      </c>
      <c r="Z189" s="156">
        <v>348.51</v>
      </c>
      <c r="AA189" s="156">
        <v>0</v>
      </c>
      <c r="AB189" s="156">
        <v>0</v>
      </c>
      <c r="AC189" s="156">
        <v>0</v>
      </c>
      <c r="AD189" s="156">
        <v>0</v>
      </c>
      <c r="AE189" s="156">
        <v>0</v>
      </c>
      <c r="AF189" s="156">
        <v>0</v>
      </c>
      <c r="AG189" s="156">
        <v>0</v>
      </c>
      <c r="AH189" s="156">
        <v>0</v>
      </c>
      <c r="AI189" s="156">
        <v>857.27</v>
      </c>
      <c r="AJ189" s="156">
        <v>0</v>
      </c>
      <c r="AK189" s="156">
        <v>-23.64</v>
      </c>
      <c r="AL189" s="156">
        <v>4398.5200000000004</v>
      </c>
      <c r="AM189" s="156">
        <v>-2464.54</v>
      </c>
      <c r="AN189" s="156">
        <v>0</v>
      </c>
      <c r="AO189" s="156">
        <v>0</v>
      </c>
      <c r="AP189" s="156">
        <v>0</v>
      </c>
      <c r="AQ189" s="156">
        <v>0</v>
      </c>
      <c r="AR189" s="156">
        <v>0</v>
      </c>
      <c r="AS189" s="156">
        <v>0</v>
      </c>
      <c r="AT189" s="156">
        <f t="shared" si="16"/>
        <v>70564.13</v>
      </c>
    </row>
    <row r="190" spans="1:46" ht="11.25" hidden="1" outlineLevel="3">
      <c r="A190" s="155" t="s">
        <v>152</v>
      </c>
      <c r="B190" s="155" t="s">
        <v>160</v>
      </c>
      <c r="C190" s="155" t="s">
        <v>133</v>
      </c>
      <c r="D190" s="156" t="s">
        <v>64</v>
      </c>
      <c r="E190" s="156" t="s">
        <v>139</v>
      </c>
      <c r="F190" s="157">
        <v>0</v>
      </c>
      <c r="G190" s="157">
        <v>2436563</v>
      </c>
      <c r="H190" s="156">
        <v>332490.81</v>
      </c>
      <c r="I190" s="156">
        <v>7697.81</v>
      </c>
      <c r="J190" s="156">
        <v>0</v>
      </c>
      <c r="K190" s="156">
        <v>3729.57</v>
      </c>
      <c r="L190" s="156">
        <v>0</v>
      </c>
      <c r="M190" s="156">
        <v>0</v>
      </c>
      <c r="N190" s="156">
        <f t="shared" si="15"/>
        <v>3729.57</v>
      </c>
      <c r="O190" s="156">
        <v>0</v>
      </c>
      <c r="P190" s="156">
        <v>0</v>
      </c>
      <c r="Q190" s="156">
        <v>0</v>
      </c>
      <c r="R190" s="156">
        <v>0</v>
      </c>
      <c r="S190" s="156">
        <v>0</v>
      </c>
      <c r="T190" s="156">
        <v>0</v>
      </c>
      <c r="U190" s="156">
        <v>0</v>
      </c>
      <c r="V190" s="156">
        <v>0</v>
      </c>
      <c r="W190" s="156">
        <v>0</v>
      </c>
      <c r="X190" s="156">
        <v>0</v>
      </c>
      <c r="Y190" s="156">
        <v>0</v>
      </c>
      <c r="Z190" s="156">
        <v>1710.87</v>
      </c>
      <c r="AA190" s="156">
        <v>0</v>
      </c>
      <c r="AB190" s="156">
        <v>0</v>
      </c>
      <c r="AC190" s="156">
        <v>0</v>
      </c>
      <c r="AD190" s="156">
        <v>0</v>
      </c>
      <c r="AE190" s="156">
        <v>0</v>
      </c>
      <c r="AF190" s="156">
        <v>0</v>
      </c>
      <c r="AG190" s="156">
        <v>0</v>
      </c>
      <c r="AH190" s="156">
        <v>0</v>
      </c>
      <c r="AI190" s="156">
        <v>3957.53</v>
      </c>
      <c r="AJ190" s="156">
        <v>60</v>
      </c>
      <c r="AK190" s="156">
        <v>-133.19999999999999</v>
      </c>
      <c r="AL190" s="156">
        <v>17863.8</v>
      </c>
      <c r="AM190" s="156">
        <v>-12231.95</v>
      </c>
      <c r="AN190" s="156">
        <v>0</v>
      </c>
      <c r="AO190" s="156">
        <v>0</v>
      </c>
      <c r="AP190" s="156">
        <v>0</v>
      </c>
      <c r="AQ190" s="156">
        <v>0</v>
      </c>
      <c r="AR190" s="156">
        <v>-1370.8</v>
      </c>
      <c r="AS190" s="156">
        <v>-163594.87087649701</v>
      </c>
      <c r="AT190" s="156">
        <f t="shared" si="16"/>
        <v>333397.11</v>
      </c>
    </row>
    <row r="191" spans="1:46" ht="11.25" hidden="1" outlineLevel="3">
      <c r="A191" s="155" t="s">
        <v>167</v>
      </c>
      <c r="B191" s="155" t="s">
        <v>146</v>
      </c>
      <c r="C191" s="155" t="s">
        <v>133</v>
      </c>
      <c r="D191" s="156" t="s">
        <v>64</v>
      </c>
      <c r="E191" s="156" t="s">
        <v>139</v>
      </c>
      <c r="F191" s="157">
        <v>0</v>
      </c>
      <c r="G191" s="157">
        <v>899668</v>
      </c>
      <c r="H191" s="156">
        <v>101719.6</v>
      </c>
      <c r="I191" s="156">
        <v>2216.87</v>
      </c>
      <c r="J191" s="156">
        <v>24732.95</v>
      </c>
      <c r="K191" s="156">
        <v>0</v>
      </c>
      <c r="L191" s="156">
        <v>0</v>
      </c>
      <c r="M191" s="156">
        <v>0</v>
      </c>
      <c r="N191" s="156">
        <f t="shared" si="15"/>
        <v>24732.95</v>
      </c>
      <c r="O191" s="156">
        <v>0</v>
      </c>
      <c r="P191" s="156">
        <v>0</v>
      </c>
      <c r="Q191" s="156">
        <v>0</v>
      </c>
      <c r="R191" s="156">
        <v>0</v>
      </c>
      <c r="S191" s="156">
        <v>0</v>
      </c>
      <c r="T191" s="156">
        <v>0</v>
      </c>
      <c r="U191" s="156">
        <v>0</v>
      </c>
      <c r="V191" s="156">
        <v>0</v>
      </c>
      <c r="W191" s="156">
        <v>0</v>
      </c>
      <c r="X191" s="156">
        <v>275.95</v>
      </c>
      <c r="Y191" s="156">
        <v>0</v>
      </c>
      <c r="Z191" s="156">
        <v>0</v>
      </c>
      <c r="AA191" s="156">
        <v>0</v>
      </c>
      <c r="AB191" s="156">
        <v>-25.88</v>
      </c>
      <c r="AC191" s="156">
        <v>0</v>
      </c>
      <c r="AD191" s="156">
        <v>0</v>
      </c>
      <c r="AE191" s="156">
        <v>0</v>
      </c>
      <c r="AF191" s="156">
        <v>0</v>
      </c>
      <c r="AG191" s="156">
        <v>0</v>
      </c>
      <c r="AH191" s="156">
        <v>0</v>
      </c>
      <c r="AI191" s="156">
        <v>320.7</v>
      </c>
      <c r="AJ191" s="156">
        <v>0</v>
      </c>
      <c r="AK191" s="156">
        <v>0</v>
      </c>
      <c r="AL191" s="156">
        <v>6266.14</v>
      </c>
      <c r="AM191" s="156">
        <v>-17549.11</v>
      </c>
      <c r="AN191" s="156">
        <v>0</v>
      </c>
      <c r="AO191" s="156">
        <v>0</v>
      </c>
      <c r="AP191" s="156">
        <v>0</v>
      </c>
      <c r="AQ191" s="156">
        <v>0</v>
      </c>
      <c r="AR191" s="156">
        <v>0</v>
      </c>
      <c r="AS191" s="156">
        <v>0</v>
      </c>
      <c r="AT191" s="156">
        <f t="shared" si="16"/>
        <v>111370.37999999999</v>
      </c>
    </row>
    <row r="192" spans="1:46" ht="11.25" hidden="1" outlineLevel="3">
      <c r="A192" s="155" t="s">
        <v>167</v>
      </c>
      <c r="B192" s="155" t="s">
        <v>132</v>
      </c>
      <c r="C192" s="155" t="s">
        <v>133</v>
      </c>
      <c r="D192" s="156" t="s">
        <v>64</v>
      </c>
      <c r="E192" s="156" t="s">
        <v>139</v>
      </c>
      <c r="F192" s="157">
        <v>0</v>
      </c>
      <c r="G192" s="157">
        <v>199</v>
      </c>
      <c r="H192" s="156">
        <v>63.95</v>
      </c>
      <c r="I192" s="156">
        <v>0</v>
      </c>
      <c r="J192" s="156">
        <v>5.47</v>
      </c>
      <c r="K192" s="156">
        <v>0</v>
      </c>
      <c r="L192" s="156">
        <v>0</v>
      </c>
      <c r="M192" s="156">
        <v>0</v>
      </c>
      <c r="N192" s="156">
        <f t="shared" si="15"/>
        <v>5.47</v>
      </c>
      <c r="O192" s="156">
        <v>0</v>
      </c>
      <c r="P192" s="156">
        <v>0</v>
      </c>
      <c r="Q192" s="156">
        <v>0</v>
      </c>
      <c r="R192" s="156">
        <v>0</v>
      </c>
      <c r="S192" s="156">
        <v>0</v>
      </c>
      <c r="T192" s="156">
        <v>0</v>
      </c>
      <c r="U192" s="156">
        <v>0</v>
      </c>
      <c r="V192" s="156">
        <v>0</v>
      </c>
      <c r="W192" s="156">
        <v>0</v>
      </c>
      <c r="X192" s="156">
        <v>0.06</v>
      </c>
      <c r="Y192" s="156">
        <v>0</v>
      </c>
      <c r="Z192" s="156">
        <v>0</v>
      </c>
      <c r="AA192" s="156">
        <v>0</v>
      </c>
      <c r="AB192" s="156">
        <v>0</v>
      </c>
      <c r="AC192" s="156">
        <v>0</v>
      </c>
      <c r="AD192" s="156">
        <v>0</v>
      </c>
      <c r="AE192" s="156">
        <v>0</v>
      </c>
      <c r="AF192" s="156">
        <v>0</v>
      </c>
      <c r="AG192" s="156">
        <v>0</v>
      </c>
      <c r="AH192" s="156">
        <v>0</v>
      </c>
      <c r="AI192" s="156">
        <v>0</v>
      </c>
      <c r="AJ192" s="156">
        <v>0</v>
      </c>
      <c r="AK192" s="156">
        <v>0</v>
      </c>
      <c r="AL192" s="156">
        <v>4.0999999999999996</v>
      </c>
      <c r="AM192" s="156">
        <v>-3.87</v>
      </c>
      <c r="AN192" s="156">
        <v>0</v>
      </c>
      <c r="AO192" s="156">
        <v>0</v>
      </c>
      <c r="AP192" s="156">
        <v>0</v>
      </c>
      <c r="AQ192" s="156">
        <v>0</v>
      </c>
      <c r="AR192" s="156">
        <v>0</v>
      </c>
      <c r="AS192" s="156">
        <v>0</v>
      </c>
      <c r="AT192" s="156">
        <f t="shared" si="16"/>
        <v>65.61</v>
      </c>
    </row>
    <row r="193" spans="1:46" ht="11.25" hidden="1" outlineLevel="3">
      <c r="A193" s="155" t="s">
        <v>167</v>
      </c>
      <c r="B193" s="155" t="s">
        <v>137</v>
      </c>
      <c r="C193" s="155" t="s">
        <v>133</v>
      </c>
      <c r="D193" s="156" t="s">
        <v>64</v>
      </c>
      <c r="E193" s="156" t="s">
        <v>139</v>
      </c>
      <c r="F193" s="157">
        <v>0</v>
      </c>
      <c r="G193" s="157">
        <v>523</v>
      </c>
      <c r="H193" s="156">
        <v>122.41</v>
      </c>
      <c r="I193" s="156">
        <v>0</v>
      </c>
      <c r="J193" s="156">
        <v>14.36</v>
      </c>
      <c r="K193" s="156">
        <v>0</v>
      </c>
      <c r="L193" s="156">
        <v>0</v>
      </c>
      <c r="M193" s="156">
        <v>0</v>
      </c>
      <c r="N193" s="156">
        <f t="shared" si="15"/>
        <v>14.36</v>
      </c>
      <c r="O193" s="156">
        <v>0</v>
      </c>
      <c r="P193" s="156">
        <v>0</v>
      </c>
      <c r="Q193" s="156">
        <v>0</v>
      </c>
      <c r="R193" s="156">
        <v>0</v>
      </c>
      <c r="S193" s="156">
        <v>0</v>
      </c>
      <c r="T193" s="156">
        <v>0</v>
      </c>
      <c r="U193" s="156">
        <v>0</v>
      </c>
      <c r="V193" s="156">
        <v>0</v>
      </c>
      <c r="W193" s="156">
        <v>0</v>
      </c>
      <c r="X193" s="156">
        <v>0.15</v>
      </c>
      <c r="Y193" s="156">
        <v>0</v>
      </c>
      <c r="Z193" s="156">
        <v>0</v>
      </c>
      <c r="AA193" s="156">
        <v>0</v>
      </c>
      <c r="AB193" s="156">
        <v>0</v>
      </c>
      <c r="AC193" s="156">
        <v>0</v>
      </c>
      <c r="AD193" s="156">
        <v>0</v>
      </c>
      <c r="AE193" s="156">
        <v>0</v>
      </c>
      <c r="AF193" s="156">
        <v>0</v>
      </c>
      <c r="AG193" s="156">
        <v>0</v>
      </c>
      <c r="AH193" s="156">
        <v>0</v>
      </c>
      <c r="AI193" s="156">
        <v>10.14</v>
      </c>
      <c r="AJ193" s="156">
        <v>0</v>
      </c>
      <c r="AK193" s="156">
        <v>0</v>
      </c>
      <c r="AL193" s="156">
        <v>8</v>
      </c>
      <c r="AM193" s="156">
        <v>-10.16</v>
      </c>
      <c r="AN193" s="156">
        <v>0</v>
      </c>
      <c r="AO193" s="156">
        <v>0</v>
      </c>
      <c r="AP193" s="156">
        <v>0</v>
      </c>
      <c r="AQ193" s="156">
        <v>0</v>
      </c>
      <c r="AR193" s="156">
        <v>0</v>
      </c>
      <c r="AS193" s="156">
        <v>0</v>
      </c>
      <c r="AT193" s="156">
        <f t="shared" si="16"/>
        <v>126.75999999999999</v>
      </c>
    </row>
    <row r="194" spans="1:46" ht="11.25" outlineLevel="2" collapsed="1">
      <c r="D194" s="156"/>
      <c r="E194" s="156" t="s">
        <v>219</v>
      </c>
      <c r="F194" s="157">
        <v>19038</v>
      </c>
      <c r="G194" s="157">
        <f t="shared" ref="G194:AT194" si="17">SUBTOTAL(9,G144:G193)</f>
        <v>27227437</v>
      </c>
      <c r="H194" s="156">
        <f t="shared" si="17"/>
        <v>3625433.0100000012</v>
      </c>
      <c r="I194" s="156">
        <f t="shared" si="17"/>
        <v>104614.69999999998</v>
      </c>
      <c r="J194" s="156">
        <f t="shared" si="17"/>
        <v>24752.780000000002</v>
      </c>
      <c r="K194" s="156">
        <f t="shared" si="17"/>
        <v>36047.97</v>
      </c>
      <c r="L194" s="156">
        <f t="shared" si="17"/>
        <v>26081.050000000003</v>
      </c>
      <c r="M194" s="156">
        <f t="shared" si="17"/>
        <v>36374.149999999994</v>
      </c>
      <c r="N194" s="156">
        <f t="shared" si="17"/>
        <v>123255.95000000003</v>
      </c>
      <c r="O194" s="156">
        <f t="shared" si="17"/>
        <v>3363.04</v>
      </c>
      <c r="P194" s="156">
        <f t="shared" si="17"/>
        <v>4364.62</v>
      </c>
      <c r="Q194" s="156">
        <f t="shared" si="17"/>
        <v>1646.96</v>
      </c>
      <c r="R194" s="156">
        <f t="shared" si="17"/>
        <v>0</v>
      </c>
      <c r="S194" s="156">
        <f t="shared" si="17"/>
        <v>0</v>
      </c>
      <c r="T194" s="156">
        <f t="shared" si="17"/>
        <v>74.08</v>
      </c>
      <c r="U194" s="156">
        <f t="shared" si="17"/>
        <v>0</v>
      </c>
      <c r="V194" s="156">
        <f t="shared" si="17"/>
        <v>0</v>
      </c>
      <c r="W194" s="156">
        <f t="shared" si="17"/>
        <v>0</v>
      </c>
      <c r="X194" s="156">
        <f t="shared" si="17"/>
        <v>276.15999999999997</v>
      </c>
      <c r="Y194" s="156">
        <f t="shared" si="17"/>
        <v>1777.81</v>
      </c>
      <c r="Z194" s="156">
        <f t="shared" si="17"/>
        <v>17378.030000000002</v>
      </c>
      <c r="AA194" s="156">
        <f t="shared" si="17"/>
        <v>2924.61</v>
      </c>
      <c r="AB194" s="156">
        <f t="shared" si="17"/>
        <v>-25.88</v>
      </c>
      <c r="AC194" s="156">
        <f t="shared" si="17"/>
        <v>0</v>
      </c>
      <c r="AD194" s="156">
        <f t="shared" si="17"/>
        <v>0</v>
      </c>
      <c r="AE194" s="156">
        <f t="shared" si="17"/>
        <v>0</v>
      </c>
      <c r="AF194" s="156">
        <f t="shared" si="17"/>
        <v>0</v>
      </c>
      <c r="AG194" s="156">
        <f t="shared" si="17"/>
        <v>0</v>
      </c>
      <c r="AH194" s="156">
        <f t="shared" si="17"/>
        <v>0</v>
      </c>
      <c r="AI194" s="156">
        <f t="shared" si="17"/>
        <v>39359.24</v>
      </c>
      <c r="AJ194" s="156">
        <f t="shared" si="17"/>
        <v>160</v>
      </c>
      <c r="AK194" s="156">
        <f t="shared" si="17"/>
        <v>-1070.53</v>
      </c>
      <c r="AL194" s="156">
        <f t="shared" si="17"/>
        <v>227003.01</v>
      </c>
      <c r="AM194" s="156">
        <f t="shared" si="17"/>
        <v>-153004.26999999999</v>
      </c>
      <c r="AN194" s="156">
        <f t="shared" si="17"/>
        <v>0</v>
      </c>
      <c r="AO194" s="156">
        <f t="shared" si="17"/>
        <v>13399.92</v>
      </c>
      <c r="AP194" s="156">
        <f t="shared" si="17"/>
        <v>0</v>
      </c>
      <c r="AQ194" s="156">
        <f t="shared" si="17"/>
        <v>0</v>
      </c>
      <c r="AR194" s="156">
        <f t="shared" si="17"/>
        <v>-3776.41</v>
      </c>
      <c r="AS194" s="156">
        <f t="shared" si="17"/>
        <v>-977204.71493644896</v>
      </c>
      <c r="AT194" s="156">
        <f t="shared" si="17"/>
        <v>3745478.7399999993</v>
      </c>
    </row>
    <row r="195" spans="1:46" ht="11.25" hidden="1" outlineLevel="3">
      <c r="A195" s="155" t="s">
        <v>131</v>
      </c>
      <c r="B195" s="155" t="s">
        <v>132</v>
      </c>
      <c r="C195" s="155" t="s">
        <v>133</v>
      </c>
      <c r="D195" s="156" t="s">
        <v>64</v>
      </c>
      <c r="E195" s="156" t="s">
        <v>140</v>
      </c>
      <c r="F195" s="157">
        <v>0</v>
      </c>
      <c r="G195" s="157">
        <v>1487803</v>
      </c>
      <c r="H195" s="156">
        <v>81620.83</v>
      </c>
      <c r="I195" s="156">
        <v>276.31</v>
      </c>
      <c r="J195" s="156">
        <v>0</v>
      </c>
      <c r="K195" s="156">
        <v>0</v>
      </c>
      <c r="L195" s="156">
        <v>43384.39</v>
      </c>
      <c r="M195" s="156">
        <v>0</v>
      </c>
      <c r="N195" s="156">
        <f t="shared" ref="N195:N207" si="18">J195+K195+L195+M195</f>
        <v>43384.39</v>
      </c>
      <c r="O195" s="156">
        <v>4478.25</v>
      </c>
      <c r="P195" s="156">
        <v>4823.59</v>
      </c>
      <c r="Q195" s="156">
        <v>0</v>
      </c>
      <c r="R195" s="156">
        <v>0</v>
      </c>
      <c r="S195" s="156">
        <v>0</v>
      </c>
      <c r="T195" s="156">
        <v>6</v>
      </c>
      <c r="U195" s="156">
        <v>0</v>
      </c>
      <c r="V195" s="156">
        <v>0</v>
      </c>
      <c r="W195" s="156">
        <v>0</v>
      </c>
      <c r="X195" s="156">
        <v>0</v>
      </c>
      <c r="Y195" s="156">
        <v>2975.61</v>
      </c>
      <c r="Z195" s="156">
        <v>0</v>
      </c>
      <c r="AA195" s="156">
        <v>3038.05</v>
      </c>
      <c r="AB195" s="156">
        <v>0</v>
      </c>
      <c r="AC195" s="156">
        <v>0</v>
      </c>
      <c r="AD195" s="156">
        <v>0</v>
      </c>
      <c r="AE195" s="156">
        <v>0</v>
      </c>
      <c r="AF195" s="156">
        <v>0</v>
      </c>
      <c r="AG195" s="156">
        <v>0</v>
      </c>
      <c r="AH195" s="156">
        <v>0</v>
      </c>
      <c r="AI195" s="156">
        <v>0</v>
      </c>
      <c r="AJ195" s="156">
        <v>0</v>
      </c>
      <c r="AK195" s="156">
        <v>0</v>
      </c>
      <c r="AL195" s="156">
        <v>10840.89</v>
      </c>
      <c r="AM195" s="156">
        <v>-17434.18</v>
      </c>
      <c r="AN195" s="156">
        <v>0</v>
      </c>
      <c r="AO195" s="156">
        <v>0</v>
      </c>
      <c r="AP195" s="156">
        <v>0</v>
      </c>
      <c r="AQ195" s="156">
        <v>0</v>
      </c>
      <c r="AR195" s="156">
        <v>0</v>
      </c>
      <c r="AS195" s="156">
        <v>0</v>
      </c>
      <c r="AT195" s="156">
        <f t="shared" ref="AT195:AT207" si="19">H195+I195+N195+O195+P195+Q195+T195+X195+Y195+Z195+AA195+AB195+AM195+AO195</f>
        <v>123168.84999999998</v>
      </c>
    </row>
    <row r="196" spans="1:46" ht="11.25" hidden="1" outlineLevel="3">
      <c r="A196" s="155" t="s">
        <v>145</v>
      </c>
      <c r="B196" s="155" t="s">
        <v>146</v>
      </c>
      <c r="C196" s="155" t="s">
        <v>133</v>
      </c>
      <c r="D196" s="156" t="s">
        <v>64</v>
      </c>
      <c r="E196" s="156" t="s">
        <v>140</v>
      </c>
      <c r="F196" s="157">
        <v>0</v>
      </c>
      <c r="G196" s="157">
        <v>1070691</v>
      </c>
      <c r="H196" s="156">
        <v>81981.14</v>
      </c>
      <c r="I196" s="156">
        <v>725</v>
      </c>
      <c r="J196" s="156">
        <v>0</v>
      </c>
      <c r="K196" s="156">
        <v>0</v>
      </c>
      <c r="L196" s="156">
        <v>0</v>
      </c>
      <c r="M196" s="156">
        <v>31264.19</v>
      </c>
      <c r="N196" s="156">
        <f t="shared" si="18"/>
        <v>31264.19</v>
      </c>
      <c r="O196" s="156">
        <v>0</v>
      </c>
      <c r="P196" s="156">
        <v>0</v>
      </c>
      <c r="Q196" s="156">
        <v>1413.29</v>
      </c>
      <c r="R196" s="156">
        <v>0</v>
      </c>
      <c r="S196" s="156">
        <v>0</v>
      </c>
      <c r="T196" s="156">
        <v>0</v>
      </c>
      <c r="U196" s="156">
        <v>0</v>
      </c>
      <c r="V196" s="156">
        <v>0</v>
      </c>
      <c r="W196" s="156">
        <v>0</v>
      </c>
      <c r="X196" s="156">
        <v>0</v>
      </c>
      <c r="Y196" s="156">
        <v>0</v>
      </c>
      <c r="Z196" s="156">
        <v>0</v>
      </c>
      <c r="AA196" s="156">
        <v>0</v>
      </c>
      <c r="AB196" s="156">
        <v>0</v>
      </c>
      <c r="AC196" s="156">
        <v>0</v>
      </c>
      <c r="AD196" s="156">
        <v>0</v>
      </c>
      <c r="AE196" s="156">
        <v>0</v>
      </c>
      <c r="AF196" s="156">
        <v>0</v>
      </c>
      <c r="AG196" s="156">
        <v>0</v>
      </c>
      <c r="AH196" s="156">
        <v>0</v>
      </c>
      <c r="AI196" s="156">
        <v>663.63</v>
      </c>
      <c r="AJ196" s="156">
        <v>0</v>
      </c>
      <c r="AK196" s="156">
        <v>0</v>
      </c>
      <c r="AL196" s="156">
        <v>7760.43</v>
      </c>
      <c r="AM196" s="156">
        <v>0</v>
      </c>
      <c r="AN196" s="156">
        <v>0</v>
      </c>
      <c r="AO196" s="156">
        <v>9235.5300000000007</v>
      </c>
      <c r="AP196" s="156">
        <v>0</v>
      </c>
      <c r="AQ196" s="156">
        <v>0</v>
      </c>
      <c r="AR196" s="156">
        <v>0</v>
      </c>
      <c r="AS196" s="156">
        <v>0</v>
      </c>
      <c r="AT196" s="156">
        <f t="shared" si="19"/>
        <v>124619.15</v>
      </c>
    </row>
    <row r="197" spans="1:46" ht="11.25" hidden="1" outlineLevel="3">
      <c r="A197" s="155" t="s">
        <v>145</v>
      </c>
      <c r="B197" s="155" t="s">
        <v>147</v>
      </c>
      <c r="C197" s="155" t="s">
        <v>133</v>
      </c>
      <c r="D197" s="156" t="s">
        <v>64</v>
      </c>
      <c r="E197" s="156" t="s">
        <v>140</v>
      </c>
      <c r="F197" s="157">
        <v>0</v>
      </c>
      <c r="G197" s="157">
        <v>565653</v>
      </c>
      <c r="H197" s="156">
        <v>52748.42</v>
      </c>
      <c r="I197" s="156">
        <v>0</v>
      </c>
      <c r="J197" s="156">
        <v>0</v>
      </c>
      <c r="K197" s="156">
        <v>0</v>
      </c>
      <c r="L197" s="156">
        <v>0</v>
      </c>
      <c r="M197" s="156">
        <v>16511.32</v>
      </c>
      <c r="N197" s="156">
        <f t="shared" si="18"/>
        <v>16511.32</v>
      </c>
      <c r="O197" s="156">
        <v>0</v>
      </c>
      <c r="P197" s="156">
        <v>0</v>
      </c>
      <c r="Q197" s="156">
        <v>746.68</v>
      </c>
      <c r="R197" s="156">
        <v>0</v>
      </c>
      <c r="S197" s="156">
        <v>0</v>
      </c>
      <c r="T197" s="156">
        <v>663.34</v>
      </c>
      <c r="U197" s="156">
        <v>0</v>
      </c>
      <c r="V197" s="156">
        <v>0</v>
      </c>
      <c r="W197" s="156">
        <v>0</v>
      </c>
      <c r="X197" s="156">
        <v>0</v>
      </c>
      <c r="Y197" s="156">
        <v>0</v>
      </c>
      <c r="Z197" s="156">
        <v>0</v>
      </c>
      <c r="AA197" s="156">
        <v>0</v>
      </c>
      <c r="AB197" s="156">
        <v>0</v>
      </c>
      <c r="AC197" s="156">
        <v>0</v>
      </c>
      <c r="AD197" s="156">
        <v>0</v>
      </c>
      <c r="AE197" s="156">
        <v>0</v>
      </c>
      <c r="AF197" s="156">
        <v>0</v>
      </c>
      <c r="AG197" s="156">
        <v>0</v>
      </c>
      <c r="AH197" s="156">
        <v>0</v>
      </c>
      <c r="AI197" s="156">
        <v>186.36</v>
      </c>
      <c r="AJ197" s="156">
        <v>0</v>
      </c>
      <c r="AK197" s="156">
        <v>0</v>
      </c>
      <c r="AL197" s="156">
        <v>3073.87</v>
      </c>
      <c r="AM197" s="156">
        <v>0</v>
      </c>
      <c r="AN197" s="156">
        <v>0</v>
      </c>
      <c r="AO197" s="156">
        <v>7137.63</v>
      </c>
      <c r="AP197" s="156">
        <v>0</v>
      </c>
      <c r="AQ197" s="156">
        <v>0</v>
      </c>
      <c r="AR197" s="156">
        <v>0</v>
      </c>
      <c r="AS197" s="156">
        <v>0</v>
      </c>
      <c r="AT197" s="156">
        <f t="shared" si="19"/>
        <v>77807.389999999985</v>
      </c>
    </row>
    <row r="198" spans="1:46" ht="11.25" hidden="1" outlineLevel="3">
      <c r="A198" s="155" t="s">
        <v>152</v>
      </c>
      <c r="B198" s="155" t="s">
        <v>153</v>
      </c>
      <c r="C198" s="155" t="s">
        <v>133</v>
      </c>
      <c r="D198" s="156" t="s">
        <v>64</v>
      </c>
      <c r="E198" s="156" t="s">
        <v>140</v>
      </c>
      <c r="F198" s="157">
        <v>0</v>
      </c>
      <c r="G198" s="157">
        <v>4137118</v>
      </c>
      <c r="H198" s="156">
        <v>412002.8</v>
      </c>
      <c r="I198" s="156">
        <v>11578.94</v>
      </c>
      <c r="J198" s="156">
        <v>0</v>
      </c>
      <c r="K198" s="156">
        <v>5491.97</v>
      </c>
      <c r="L198" s="156">
        <v>0</v>
      </c>
      <c r="M198" s="156">
        <v>0</v>
      </c>
      <c r="N198" s="156">
        <f t="shared" si="18"/>
        <v>5491.97</v>
      </c>
      <c r="O198" s="156">
        <v>0</v>
      </c>
      <c r="P198" s="156">
        <v>0</v>
      </c>
      <c r="Q198" s="156">
        <v>0</v>
      </c>
      <c r="R198" s="156">
        <v>0</v>
      </c>
      <c r="S198" s="156">
        <v>0</v>
      </c>
      <c r="T198" s="156">
        <v>716.99</v>
      </c>
      <c r="U198" s="156">
        <v>0</v>
      </c>
      <c r="V198" s="156">
        <v>0</v>
      </c>
      <c r="W198" s="156">
        <v>0</v>
      </c>
      <c r="X198" s="156">
        <v>0</v>
      </c>
      <c r="Y198" s="156">
        <v>0</v>
      </c>
      <c r="Z198" s="156">
        <v>2593.44</v>
      </c>
      <c r="AA198" s="156">
        <v>0</v>
      </c>
      <c r="AB198" s="156">
        <v>0</v>
      </c>
      <c r="AC198" s="156">
        <v>0</v>
      </c>
      <c r="AD198" s="156">
        <v>0</v>
      </c>
      <c r="AE198" s="156">
        <v>0</v>
      </c>
      <c r="AF198" s="156">
        <v>0</v>
      </c>
      <c r="AG198" s="156">
        <v>0</v>
      </c>
      <c r="AH198" s="156">
        <v>0</v>
      </c>
      <c r="AI198" s="156">
        <v>3349.78</v>
      </c>
      <c r="AJ198" s="156">
        <v>0</v>
      </c>
      <c r="AK198" s="156">
        <v>0</v>
      </c>
      <c r="AL198" s="156">
        <v>20281.169999999998</v>
      </c>
      <c r="AM198" s="156">
        <v>-15307.32</v>
      </c>
      <c r="AN198" s="156">
        <v>0</v>
      </c>
      <c r="AO198" s="156">
        <v>0</v>
      </c>
      <c r="AP198" s="156">
        <v>0</v>
      </c>
      <c r="AQ198" s="156">
        <v>0</v>
      </c>
      <c r="AR198" s="156">
        <v>0</v>
      </c>
      <c r="AS198" s="156">
        <v>0</v>
      </c>
      <c r="AT198" s="156">
        <f t="shared" si="19"/>
        <v>417076.81999999995</v>
      </c>
    </row>
    <row r="199" spans="1:46" ht="11.25" hidden="1" outlineLevel="3">
      <c r="A199" s="155" t="s">
        <v>152</v>
      </c>
      <c r="B199" s="155" t="s">
        <v>154</v>
      </c>
      <c r="C199" s="155" t="s">
        <v>133</v>
      </c>
      <c r="D199" s="156" t="s">
        <v>64</v>
      </c>
      <c r="E199" s="156" t="s">
        <v>140</v>
      </c>
      <c r="F199" s="157">
        <v>0</v>
      </c>
      <c r="G199" s="157">
        <v>3740320</v>
      </c>
      <c r="H199" s="156">
        <v>362852.67</v>
      </c>
      <c r="I199" s="156">
        <v>2062.21</v>
      </c>
      <c r="J199" s="156">
        <v>0</v>
      </c>
      <c r="K199" s="156">
        <v>8214.0300000000007</v>
      </c>
      <c r="L199" s="156">
        <v>0</v>
      </c>
      <c r="M199" s="156">
        <v>0</v>
      </c>
      <c r="N199" s="156">
        <f t="shared" si="18"/>
        <v>8214.0300000000007</v>
      </c>
      <c r="O199" s="156">
        <v>0</v>
      </c>
      <c r="P199" s="156">
        <v>0</v>
      </c>
      <c r="Q199" s="156">
        <v>0</v>
      </c>
      <c r="R199" s="156">
        <v>0</v>
      </c>
      <c r="S199" s="156">
        <v>0</v>
      </c>
      <c r="T199" s="156">
        <v>0</v>
      </c>
      <c r="U199" s="156">
        <v>0</v>
      </c>
      <c r="V199" s="156">
        <v>0</v>
      </c>
      <c r="W199" s="156">
        <v>0</v>
      </c>
      <c r="X199" s="156">
        <v>0</v>
      </c>
      <c r="Y199" s="156">
        <v>0</v>
      </c>
      <c r="Z199" s="156">
        <v>2655.55</v>
      </c>
      <c r="AA199" s="156">
        <v>0</v>
      </c>
      <c r="AB199" s="156">
        <v>0</v>
      </c>
      <c r="AC199" s="156">
        <v>0</v>
      </c>
      <c r="AD199" s="156">
        <v>0</v>
      </c>
      <c r="AE199" s="156">
        <v>0</v>
      </c>
      <c r="AF199" s="156">
        <v>0</v>
      </c>
      <c r="AG199" s="156">
        <v>0</v>
      </c>
      <c r="AH199" s="156">
        <v>0</v>
      </c>
      <c r="AI199" s="156">
        <v>3377.31</v>
      </c>
      <c r="AJ199" s="156">
        <v>0</v>
      </c>
      <c r="AK199" s="156">
        <v>0</v>
      </c>
      <c r="AL199" s="156">
        <v>15594.37</v>
      </c>
      <c r="AM199" s="156">
        <v>-13839.16</v>
      </c>
      <c r="AN199" s="156">
        <v>0</v>
      </c>
      <c r="AO199" s="156">
        <v>0</v>
      </c>
      <c r="AP199" s="156">
        <v>0</v>
      </c>
      <c r="AQ199" s="156">
        <v>0</v>
      </c>
      <c r="AR199" s="156">
        <v>0</v>
      </c>
      <c r="AS199" s="156">
        <v>0</v>
      </c>
      <c r="AT199" s="156">
        <f t="shared" si="19"/>
        <v>361945.30000000005</v>
      </c>
    </row>
    <row r="200" spans="1:46" ht="11.25" hidden="1" outlineLevel="3">
      <c r="A200" s="155" t="s">
        <v>152</v>
      </c>
      <c r="B200" s="155" t="s">
        <v>155</v>
      </c>
      <c r="C200" s="155" t="s">
        <v>133</v>
      </c>
      <c r="D200" s="156" t="s">
        <v>64</v>
      </c>
      <c r="E200" s="156" t="s">
        <v>140</v>
      </c>
      <c r="F200" s="157">
        <v>0</v>
      </c>
      <c r="G200" s="157">
        <v>6214180</v>
      </c>
      <c r="H200" s="156">
        <v>620087.01</v>
      </c>
      <c r="I200" s="156">
        <v>9114.99</v>
      </c>
      <c r="J200" s="156">
        <v>0</v>
      </c>
      <c r="K200" s="156">
        <v>8135.03</v>
      </c>
      <c r="L200" s="156">
        <v>0</v>
      </c>
      <c r="M200" s="156">
        <v>0</v>
      </c>
      <c r="N200" s="156">
        <f t="shared" si="18"/>
        <v>8135.03</v>
      </c>
      <c r="O200" s="156">
        <v>0</v>
      </c>
      <c r="P200" s="156">
        <v>0</v>
      </c>
      <c r="Q200" s="156">
        <v>0</v>
      </c>
      <c r="R200" s="156">
        <v>0</v>
      </c>
      <c r="S200" s="156">
        <v>0</v>
      </c>
      <c r="T200" s="156">
        <v>575.14</v>
      </c>
      <c r="U200" s="156">
        <v>0</v>
      </c>
      <c r="V200" s="156">
        <v>0</v>
      </c>
      <c r="W200" s="156">
        <v>0</v>
      </c>
      <c r="X200" s="156">
        <v>0</v>
      </c>
      <c r="Y200" s="156">
        <v>0</v>
      </c>
      <c r="Z200" s="156">
        <v>4076.35</v>
      </c>
      <c r="AA200" s="156">
        <v>0</v>
      </c>
      <c r="AB200" s="156">
        <v>0</v>
      </c>
      <c r="AC200" s="156">
        <v>0</v>
      </c>
      <c r="AD200" s="156">
        <v>0</v>
      </c>
      <c r="AE200" s="156">
        <v>0</v>
      </c>
      <c r="AF200" s="156">
        <v>0</v>
      </c>
      <c r="AG200" s="156">
        <v>0</v>
      </c>
      <c r="AH200" s="156">
        <v>0</v>
      </c>
      <c r="AI200" s="156">
        <v>7121.27</v>
      </c>
      <c r="AJ200" s="156">
        <v>0</v>
      </c>
      <c r="AK200" s="156">
        <v>0</v>
      </c>
      <c r="AL200" s="156">
        <v>40452.53</v>
      </c>
      <c r="AM200" s="156">
        <v>-22992.46</v>
      </c>
      <c r="AN200" s="156">
        <v>0</v>
      </c>
      <c r="AO200" s="156">
        <v>0</v>
      </c>
      <c r="AP200" s="156">
        <v>0</v>
      </c>
      <c r="AQ200" s="156">
        <v>0</v>
      </c>
      <c r="AR200" s="156">
        <v>0</v>
      </c>
      <c r="AS200" s="156">
        <v>0</v>
      </c>
      <c r="AT200" s="156">
        <f t="shared" si="19"/>
        <v>618996.06000000006</v>
      </c>
    </row>
    <row r="201" spans="1:46" ht="11.25" hidden="1" outlineLevel="3">
      <c r="A201" s="155" t="s">
        <v>152</v>
      </c>
      <c r="B201" s="155" t="s">
        <v>157</v>
      </c>
      <c r="C201" s="155" t="s">
        <v>133</v>
      </c>
      <c r="D201" s="156" t="s">
        <v>64</v>
      </c>
      <c r="E201" s="156" t="s">
        <v>140</v>
      </c>
      <c r="F201" s="157">
        <v>0</v>
      </c>
      <c r="G201" s="157">
        <v>16154591</v>
      </c>
      <c r="H201" s="156">
        <v>1553258.51</v>
      </c>
      <c r="I201" s="156">
        <v>31720.47</v>
      </c>
      <c r="J201" s="156">
        <v>0</v>
      </c>
      <c r="K201" s="156">
        <v>25577.51</v>
      </c>
      <c r="L201" s="156">
        <v>0</v>
      </c>
      <c r="M201" s="156">
        <v>0</v>
      </c>
      <c r="N201" s="156">
        <f t="shared" si="18"/>
        <v>25577.51</v>
      </c>
      <c r="O201" s="156">
        <v>0</v>
      </c>
      <c r="P201" s="156">
        <v>0</v>
      </c>
      <c r="Q201" s="156">
        <v>0</v>
      </c>
      <c r="R201" s="156">
        <v>0</v>
      </c>
      <c r="S201" s="156">
        <v>0</v>
      </c>
      <c r="T201" s="156">
        <v>3955.52</v>
      </c>
      <c r="U201" s="156">
        <v>0</v>
      </c>
      <c r="V201" s="156">
        <v>0</v>
      </c>
      <c r="W201" s="156">
        <v>0</v>
      </c>
      <c r="X201" s="156">
        <v>0</v>
      </c>
      <c r="Y201" s="156">
        <v>0</v>
      </c>
      <c r="Z201" s="156">
        <v>10326.209999999999</v>
      </c>
      <c r="AA201" s="156">
        <v>0</v>
      </c>
      <c r="AB201" s="156">
        <v>0</v>
      </c>
      <c r="AC201" s="156">
        <v>0</v>
      </c>
      <c r="AD201" s="156">
        <v>0</v>
      </c>
      <c r="AE201" s="156">
        <v>0</v>
      </c>
      <c r="AF201" s="156">
        <v>0</v>
      </c>
      <c r="AG201" s="156">
        <v>0</v>
      </c>
      <c r="AH201" s="156">
        <v>0</v>
      </c>
      <c r="AI201" s="156">
        <v>12448.79</v>
      </c>
      <c r="AJ201" s="156">
        <v>0</v>
      </c>
      <c r="AK201" s="156">
        <v>0</v>
      </c>
      <c r="AL201" s="156">
        <v>82188.55</v>
      </c>
      <c r="AM201" s="156">
        <v>-59771.96</v>
      </c>
      <c r="AN201" s="156">
        <v>0</v>
      </c>
      <c r="AO201" s="156">
        <v>0</v>
      </c>
      <c r="AP201" s="156">
        <v>0</v>
      </c>
      <c r="AQ201" s="156">
        <v>0</v>
      </c>
      <c r="AR201" s="156">
        <v>-2216.62</v>
      </c>
      <c r="AS201" s="156">
        <v>-508107.73638968501</v>
      </c>
      <c r="AT201" s="156">
        <f t="shared" si="19"/>
        <v>1565066.26</v>
      </c>
    </row>
    <row r="202" spans="1:46" ht="11.25" hidden="1" outlineLevel="3">
      <c r="A202" s="155" t="s">
        <v>152</v>
      </c>
      <c r="B202" s="155" t="s">
        <v>137</v>
      </c>
      <c r="C202" s="155" t="s">
        <v>133</v>
      </c>
      <c r="D202" s="156" t="s">
        <v>64</v>
      </c>
      <c r="E202" s="156" t="s">
        <v>140</v>
      </c>
      <c r="F202" s="157">
        <v>0</v>
      </c>
      <c r="G202" s="157">
        <v>6101754</v>
      </c>
      <c r="H202" s="156">
        <v>627903.71</v>
      </c>
      <c r="I202" s="156">
        <v>122.28</v>
      </c>
      <c r="J202" s="156">
        <v>0</v>
      </c>
      <c r="K202" s="156">
        <v>5154.0200000000004</v>
      </c>
      <c r="L202" s="156">
        <v>0</v>
      </c>
      <c r="M202" s="156">
        <v>0</v>
      </c>
      <c r="N202" s="156">
        <f t="shared" si="18"/>
        <v>5154.0200000000004</v>
      </c>
      <c r="O202" s="156">
        <v>0</v>
      </c>
      <c r="P202" s="156">
        <v>0</v>
      </c>
      <c r="Q202" s="156">
        <v>0</v>
      </c>
      <c r="R202" s="156">
        <v>0</v>
      </c>
      <c r="S202" s="156">
        <v>0</v>
      </c>
      <c r="T202" s="156">
        <v>1093.3599999999999</v>
      </c>
      <c r="U202" s="156">
        <v>0</v>
      </c>
      <c r="V202" s="156">
        <v>0</v>
      </c>
      <c r="W202" s="156">
        <v>0</v>
      </c>
      <c r="X202" s="156">
        <v>0</v>
      </c>
      <c r="Y202" s="156">
        <v>0</v>
      </c>
      <c r="Z202" s="156">
        <v>4046.16</v>
      </c>
      <c r="AA202" s="156">
        <v>0</v>
      </c>
      <c r="AB202" s="156">
        <v>0</v>
      </c>
      <c r="AC202" s="156">
        <v>0</v>
      </c>
      <c r="AD202" s="156">
        <v>0</v>
      </c>
      <c r="AE202" s="156">
        <v>0</v>
      </c>
      <c r="AF202" s="156">
        <v>0</v>
      </c>
      <c r="AG202" s="156">
        <v>0</v>
      </c>
      <c r="AH202" s="156">
        <v>0</v>
      </c>
      <c r="AI202" s="156">
        <v>7466.9</v>
      </c>
      <c r="AJ202" s="156">
        <v>0</v>
      </c>
      <c r="AK202" s="156">
        <v>0</v>
      </c>
      <c r="AL202" s="156">
        <v>26782.74</v>
      </c>
      <c r="AM202" s="156">
        <v>-22576.51</v>
      </c>
      <c r="AN202" s="156">
        <v>0</v>
      </c>
      <c r="AO202" s="156">
        <v>0</v>
      </c>
      <c r="AP202" s="156">
        <v>0</v>
      </c>
      <c r="AQ202" s="156">
        <v>0</v>
      </c>
      <c r="AR202" s="156">
        <v>0</v>
      </c>
      <c r="AS202" s="156">
        <v>0</v>
      </c>
      <c r="AT202" s="156">
        <f t="shared" si="19"/>
        <v>615743.02</v>
      </c>
    </row>
    <row r="203" spans="1:46" ht="11.25" hidden="1" outlineLevel="3">
      <c r="A203" s="155" t="s">
        <v>152</v>
      </c>
      <c r="B203" s="155" t="s">
        <v>158</v>
      </c>
      <c r="C203" s="155" t="s">
        <v>133</v>
      </c>
      <c r="D203" s="156" t="s">
        <v>64</v>
      </c>
      <c r="E203" s="156" t="s">
        <v>140</v>
      </c>
      <c r="F203" s="157">
        <v>0</v>
      </c>
      <c r="G203" s="157">
        <v>5416190</v>
      </c>
      <c r="H203" s="156">
        <v>532266.43000000005</v>
      </c>
      <c r="I203" s="156">
        <v>2288.42</v>
      </c>
      <c r="J203" s="156">
        <v>0</v>
      </c>
      <c r="K203" s="156">
        <v>6774.31</v>
      </c>
      <c r="L203" s="156">
        <v>0</v>
      </c>
      <c r="M203" s="156">
        <v>0</v>
      </c>
      <c r="N203" s="156">
        <f t="shared" si="18"/>
        <v>6774.31</v>
      </c>
      <c r="O203" s="156">
        <v>0</v>
      </c>
      <c r="P203" s="156">
        <v>0</v>
      </c>
      <c r="Q203" s="156">
        <v>0</v>
      </c>
      <c r="R203" s="156">
        <v>0</v>
      </c>
      <c r="S203" s="156">
        <v>0</v>
      </c>
      <c r="T203" s="156">
        <v>782.71</v>
      </c>
      <c r="U203" s="156">
        <v>0</v>
      </c>
      <c r="V203" s="156">
        <v>0</v>
      </c>
      <c r="W203" s="156">
        <v>0</v>
      </c>
      <c r="X203" s="156">
        <v>0</v>
      </c>
      <c r="Y203" s="156">
        <v>0</v>
      </c>
      <c r="Z203" s="156">
        <v>3650.37</v>
      </c>
      <c r="AA203" s="156">
        <v>0</v>
      </c>
      <c r="AB203" s="156">
        <v>0</v>
      </c>
      <c r="AC203" s="156">
        <v>0</v>
      </c>
      <c r="AD203" s="156">
        <v>0</v>
      </c>
      <c r="AE203" s="156">
        <v>0</v>
      </c>
      <c r="AF203" s="156">
        <v>0</v>
      </c>
      <c r="AG203" s="156">
        <v>0</v>
      </c>
      <c r="AH203" s="156">
        <v>0</v>
      </c>
      <c r="AI203" s="156">
        <v>6036.31</v>
      </c>
      <c r="AJ203" s="156">
        <v>20</v>
      </c>
      <c r="AK203" s="156">
        <v>0</v>
      </c>
      <c r="AL203" s="156">
        <v>24300.95</v>
      </c>
      <c r="AM203" s="156">
        <v>-20040</v>
      </c>
      <c r="AN203" s="156">
        <v>0</v>
      </c>
      <c r="AO203" s="156">
        <v>0</v>
      </c>
      <c r="AP203" s="156">
        <v>0</v>
      </c>
      <c r="AQ203" s="156">
        <v>0</v>
      </c>
      <c r="AR203" s="156">
        <v>0</v>
      </c>
      <c r="AS203" s="156">
        <v>0</v>
      </c>
      <c r="AT203" s="156">
        <f t="shared" si="19"/>
        <v>525722.24000000011</v>
      </c>
    </row>
    <row r="204" spans="1:46" ht="11.25" hidden="1" outlineLevel="3">
      <c r="A204" s="155" t="s">
        <v>152</v>
      </c>
      <c r="B204" s="155" t="s">
        <v>159</v>
      </c>
      <c r="C204" s="155" t="s">
        <v>133</v>
      </c>
      <c r="D204" s="156" t="s">
        <v>64</v>
      </c>
      <c r="E204" s="156" t="s">
        <v>140</v>
      </c>
      <c r="F204" s="157">
        <v>0</v>
      </c>
      <c r="G204" s="157">
        <v>362090</v>
      </c>
      <c r="H204" s="156">
        <v>35316.79</v>
      </c>
      <c r="I204" s="156">
        <v>0</v>
      </c>
      <c r="J204" s="156">
        <v>0</v>
      </c>
      <c r="K204" s="156">
        <v>544.69000000000005</v>
      </c>
      <c r="L204" s="156">
        <v>0</v>
      </c>
      <c r="M204" s="156">
        <v>0</v>
      </c>
      <c r="N204" s="156">
        <f t="shared" si="18"/>
        <v>544.69000000000005</v>
      </c>
      <c r="O204" s="156">
        <v>0</v>
      </c>
      <c r="P204" s="156">
        <v>0</v>
      </c>
      <c r="Q204" s="156">
        <v>0</v>
      </c>
      <c r="R204" s="156">
        <v>0</v>
      </c>
      <c r="S204" s="156">
        <v>0</v>
      </c>
      <c r="T204" s="156">
        <v>0</v>
      </c>
      <c r="U204" s="156">
        <v>0</v>
      </c>
      <c r="V204" s="156">
        <v>0</v>
      </c>
      <c r="W204" s="156">
        <v>0</v>
      </c>
      <c r="X204" s="156">
        <v>0</v>
      </c>
      <c r="Y204" s="156">
        <v>0</v>
      </c>
      <c r="Z204" s="156">
        <v>257.08999999999997</v>
      </c>
      <c r="AA204" s="156">
        <v>0</v>
      </c>
      <c r="AB204" s="156">
        <v>0</v>
      </c>
      <c r="AC204" s="156">
        <v>0</v>
      </c>
      <c r="AD204" s="156">
        <v>0</v>
      </c>
      <c r="AE204" s="156">
        <v>0</v>
      </c>
      <c r="AF204" s="156">
        <v>0</v>
      </c>
      <c r="AG204" s="156">
        <v>0</v>
      </c>
      <c r="AH204" s="156">
        <v>0</v>
      </c>
      <c r="AI204" s="156">
        <v>436.09</v>
      </c>
      <c r="AJ204" s="156">
        <v>0</v>
      </c>
      <c r="AK204" s="156">
        <v>0</v>
      </c>
      <c r="AL204" s="156">
        <v>2075.25</v>
      </c>
      <c r="AM204" s="156">
        <v>-1339.73</v>
      </c>
      <c r="AN204" s="156">
        <v>0</v>
      </c>
      <c r="AO204" s="156">
        <v>0</v>
      </c>
      <c r="AP204" s="156">
        <v>0</v>
      </c>
      <c r="AQ204" s="156">
        <v>0</v>
      </c>
      <c r="AR204" s="156">
        <v>0</v>
      </c>
      <c r="AS204" s="156">
        <v>0</v>
      </c>
      <c r="AT204" s="156">
        <f t="shared" si="19"/>
        <v>34778.839999999997</v>
      </c>
    </row>
    <row r="205" spans="1:46" ht="11.25" hidden="1" outlineLevel="3">
      <c r="A205" s="155" t="s">
        <v>152</v>
      </c>
      <c r="B205" s="155" t="s">
        <v>160</v>
      </c>
      <c r="C205" s="155" t="s">
        <v>133</v>
      </c>
      <c r="D205" s="156" t="s">
        <v>64</v>
      </c>
      <c r="E205" s="156" t="s">
        <v>140</v>
      </c>
      <c r="F205" s="157">
        <v>0</v>
      </c>
      <c r="G205" s="157">
        <v>3840520</v>
      </c>
      <c r="H205" s="156">
        <v>383550.34</v>
      </c>
      <c r="I205" s="156">
        <v>811.2</v>
      </c>
      <c r="J205" s="156">
        <v>0</v>
      </c>
      <c r="K205" s="156">
        <v>5696.27</v>
      </c>
      <c r="L205" s="156">
        <v>0</v>
      </c>
      <c r="M205" s="156">
        <v>0</v>
      </c>
      <c r="N205" s="156">
        <f t="shared" si="18"/>
        <v>5696.27</v>
      </c>
      <c r="O205" s="156">
        <v>0</v>
      </c>
      <c r="P205" s="156">
        <v>0</v>
      </c>
      <c r="Q205" s="156">
        <v>0</v>
      </c>
      <c r="R205" s="156">
        <v>0</v>
      </c>
      <c r="S205" s="156">
        <v>0</v>
      </c>
      <c r="T205" s="156">
        <v>50</v>
      </c>
      <c r="U205" s="156">
        <v>0</v>
      </c>
      <c r="V205" s="156">
        <v>0</v>
      </c>
      <c r="W205" s="156">
        <v>0</v>
      </c>
      <c r="X205" s="156">
        <v>0</v>
      </c>
      <c r="Y205" s="156">
        <v>0</v>
      </c>
      <c r="Z205" s="156">
        <v>2400.2600000000002</v>
      </c>
      <c r="AA205" s="156">
        <v>0</v>
      </c>
      <c r="AB205" s="156">
        <v>0</v>
      </c>
      <c r="AC205" s="156">
        <v>0</v>
      </c>
      <c r="AD205" s="156">
        <v>0</v>
      </c>
      <c r="AE205" s="156">
        <v>0</v>
      </c>
      <c r="AF205" s="156">
        <v>0</v>
      </c>
      <c r="AG205" s="156">
        <v>0</v>
      </c>
      <c r="AH205" s="156">
        <v>0</v>
      </c>
      <c r="AI205" s="156">
        <v>5051.55</v>
      </c>
      <c r="AJ205" s="156">
        <v>60</v>
      </c>
      <c r="AK205" s="156">
        <v>0</v>
      </c>
      <c r="AL205" s="156">
        <v>14409.29</v>
      </c>
      <c r="AM205" s="156">
        <v>-14209.86</v>
      </c>
      <c r="AN205" s="156">
        <v>0</v>
      </c>
      <c r="AO205" s="156">
        <v>0</v>
      </c>
      <c r="AP205" s="156">
        <v>0</v>
      </c>
      <c r="AQ205" s="156">
        <v>0</v>
      </c>
      <c r="AR205" s="156">
        <v>0</v>
      </c>
      <c r="AS205" s="156">
        <v>0</v>
      </c>
      <c r="AT205" s="156">
        <f t="shared" si="19"/>
        <v>378298.21000000008</v>
      </c>
    </row>
    <row r="206" spans="1:46" ht="11.25" hidden="1" outlineLevel="3">
      <c r="A206" s="155" t="s">
        <v>167</v>
      </c>
      <c r="B206" s="155" t="s">
        <v>146</v>
      </c>
      <c r="C206" s="155" t="s">
        <v>133</v>
      </c>
      <c r="D206" s="156" t="s">
        <v>64</v>
      </c>
      <c r="E206" s="156" t="s">
        <v>140</v>
      </c>
      <c r="F206" s="157">
        <v>0</v>
      </c>
      <c r="G206" s="157">
        <v>1384176</v>
      </c>
      <c r="H206" s="156">
        <v>103930.56</v>
      </c>
      <c r="I206" s="156">
        <v>0</v>
      </c>
      <c r="J206" s="156">
        <v>38020.550000000003</v>
      </c>
      <c r="K206" s="156">
        <v>0</v>
      </c>
      <c r="L206" s="156">
        <v>0</v>
      </c>
      <c r="M206" s="156">
        <v>0</v>
      </c>
      <c r="N206" s="156">
        <f t="shared" si="18"/>
        <v>38020.550000000003</v>
      </c>
      <c r="O206" s="156">
        <v>0</v>
      </c>
      <c r="P206" s="156">
        <v>0</v>
      </c>
      <c r="Q206" s="156">
        <v>0</v>
      </c>
      <c r="R206" s="156">
        <v>0</v>
      </c>
      <c r="S206" s="156">
        <v>0</v>
      </c>
      <c r="T206" s="156">
        <v>0</v>
      </c>
      <c r="U206" s="156">
        <v>0</v>
      </c>
      <c r="V206" s="156">
        <v>0</v>
      </c>
      <c r="W206" s="156">
        <v>0</v>
      </c>
      <c r="X206" s="156">
        <v>429.1</v>
      </c>
      <c r="Y206" s="156">
        <v>0</v>
      </c>
      <c r="Z206" s="156">
        <v>0</v>
      </c>
      <c r="AA206" s="156">
        <v>0</v>
      </c>
      <c r="AB206" s="156">
        <v>0</v>
      </c>
      <c r="AC206" s="156">
        <v>0</v>
      </c>
      <c r="AD206" s="156">
        <v>0</v>
      </c>
      <c r="AE206" s="156">
        <v>0</v>
      </c>
      <c r="AF206" s="156">
        <v>0</v>
      </c>
      <c r="AG206" s="156">
        <v>0</v>
      </c>
      <c r="AH206" s="156">
        <v>0</v>
      </c>
      <c r="AI206" s="156">
        <v>365.06</v>
      </c>
      <c r="AJ206" s="156">
        <v>0</v>
      </c>
      <c r="AK206" s="156">
        <v>0</v>
      </c>
      <c r="AL206" s="156">
        <v>4283.0600000000004</v>
      </c>
      <c r="AM206" s="156">
        <v>-11405.63</v>
      </c>
      <c r="AN206" s="156">
        <v>0</v>
      </c>
      <c r="AO206" s="156">
        <v>0</v>
      </c>
      <c r="AP206" s="156">
        <v>0</v>
      </c>
      <c r="AQ206" s="156">
        <v>0</v>
      </c>
      <c r="AR206" s="156">
        <v>0</v>
      </c>
      <c r="AS206" s="156">
        <v>0</v>
      </c>
      <c r="AT206" s="156">
        <f t="shared" si="19"/>
        <v>130974.57999999999</v>
      </c>
    </row>
    <row r="207" spans="1:46" ht="11.25" hidden="1" outlineLevel="3">
      <c r="A207" s="155" t="s">
        <v>167</v>
      </c>
      <c r="B207" s="155" t="s">
        <v>137</v>
      </c>
      <c r="C207" s="155" t="s">
        <v>133</v>
      </c>
      <c r="D207" s="156" t="s">
        <v>64</v>
      </c>
      <c r="E207" s="156" t="s">
        <v>140</v>
      </c>
      <c r="F207" s="157">
        <v>0</v>
      </c>
      <c r="G207" s="157">
        <v>179600</v>
      </c>
      <c r="H207" s="156">
        <v>10574.24</v>
      </c>
      <c r="I207" s="156">
        <v>0</v>
      </c>
      <c r="J207" s="156">
        <v>4933.25</v>
      </c>
      <c r="K207" s="156">
        <v>0</v>
      </c>
      <c r="L207" s="156">
        <v>0</v>
      </c>
      <c r="M207" s="156">
        <v>0</v>
      </c>
      <c r="N207" s="156">
        <f t="shared" si="18"/>
        <v>4933.25</v>
      </c>
      <c r="O207" s="156">
        <v>0</v>
      </c>
      <c r="P207" s="156">
        <v>0</v>
      </c>
      <c r="Q207" s="156">
        <v>0</v>
      </c>
      <c r="R207" s="156">
        <v>0</v>
      </c>
      <c r="S207" s="156">
        <v>0</v>
      </c>
      <c r="T207" s="156">
        <v>0</v>
      </c>
      <c r="U207" s="156">
        <v>0</v>
      </c>
      <c r="V207" s="156">
        <v>0</v>
      </c>
      <c r="W207" s="156">
        <v>0</v>
      </c>
      <c r="X207" s="156">
        <v>55.68</v>
      </c>
      <c r="Y207" s="156">
        <v>0</v>
      </c>
      <c r="Z207" s="156">
        <v>0</v>
      </c>
      <c r="AA207" s="156">
        <v>0</v>
      </c>
      <c r="AB207" s="156">
        <v>0</v>
      </c>
      <c r="AC207" s="156">
        <v>0</v>
      </c>
      <c r="AD207" s="156">
        <v>0</v>
      </c>
      <c r="AE207" s="156">
        <v>0</v>
      </c>
      <c r="AF207" s="156">
        <v>0</v>
      </c>
      <c r="AG207" s="156">
        <v>0</v>
      </c>
      <c r="AH207" s="156">
        <v>0</v>
      </c>
      <c r="AI207" s="156">
        <v>0</v>
      </c>
      <c r="AJ207" s="156">
        <v>0</v>
      </c>
      <c r="AK207" s="156">
        <v>0</v>
      </c>
      <c r="AL207" s="156">
        <v>0</v>
      </c>
      <c r="AM207" s="156">
        <v>-1479.9</v>
      </c>
      <c r="AN207" s="156">
        <v>0</v>
      </c>
      <c r="AO207" s="156">
        <v>0</v>
      </c>
      <c r="AP207" s="156">
        <v>0</v>
      </c>
      <c r="AQ207" s="156">
        <v>0</v>
      </c>
      <c r="AR207" s="156">
        <v>0</v>
      </c>
      <c r="AS207" s="156">
        <v>0</v>
      </c>
      <c r="AT207" s="156">
        <f t="shared" si="19"/>
        <v>14083.27</v>
      </c>
    </row>
    <row r="208" spans="1:46" ht="11.25" outlineLevel="2" collapsed="1">
      <c r="D208" s="156"/>
      <c r="E208" s="156" t="s">
        <v>220</v>
      </c>
      <c r="F208" s="157">
        <v>1677</v>
      </c>
      <c r="G208" s="157">
        <f t="shared" ref="G208:AT208" si="20">SUBTOTAL(9,G195:G207)</f>
        <v>50654686</v>
      </c>
      <c r="H208" s="156">
        <f t="shared" si="20"/>
        <v>4858093.4499999993</v>
      </c>
      <c r="I208" s="156">
        <f t="shared" si="20"/>
        <v>58699.819999999992</v>
      </c>
      <c r="J208" s="156">
        <f t="shared" si="20"/>
        <v>42953.8</v>
      </c>
      <c r="K208" s="156">
        <f t="shared" si="20"/>
        <v>65587.83</v>
      </c>
      <c r="L208" s="156">
        <f t="shared" si="20"/>
        <v>43384.39</v>
      </c>
      <c r="M208" s="156">
        <f t="shared" si="20"/>
        <v>47775.509999999995</v>
      </c>
      <c r="N208" s="156">
        <f t="shared" si="20"/>
        <v>199701.52999999997</v>
      </c>
      <c r="O208" s="156">
        <f t="shared" si="20"/>
        <v>4478.25</v>
      </c>
      <c r="P208" s="156">
        <f t="shared" si="20"/>
        <v>4823.59</v>
      </c>
      <c r="Q208" s="156">
        <f t="shared" si="20"/>
        <v>2159.9699999999998</v>
      </c>
      <c r="R208" s="156">
        <f t="shared" si="20"/>
        <v>0</v>
      </c>
      <c r="S208" s="156">
        <f t="shared" si="20"/>
        <v>0</v>
      </c>
      <c r="T208" s="156">
        <f t="shared" si="20"/>
        <v>7843.0599999999995</v>
      </c>
      <c r="U208" s="156">
        <f t="shared" si="20"/>
        <v>0</v>
      </c>
      <c r="V208" s="156">
        <f t="shared" si="20"/>
        <v>0</v>
      </c>
      <c r="W208" s="156">
        <f t="shared" si="20"/>
        <v>0</v>
      </c>
      <c r="X208" s="156">
        <f t="shared" si="20"/>
        <v>484.78000000000003</v>
      </c>
      <c r="Y208" s="156">
        <f t="shared" si="20"/>
        <v>2975.61</v>
      </c>
      <c r="Z208" s="156">
        <f t="shared" si="20"/>
        <v>30005.43</v>
      </c>
      <c r="AA208" s="156">
        <f t="shared" si="20"/>
        <v>3038.05</v>
      </c>
      <c r="AB208" s="156">
        <f t="shared" si="20"/>
        <v>0</v>
      </c>
      <c r="AC208" s="156">
        <f t="shared" si="20"/>
        <v>0</v>
      </c>
      <c r="AD208" s="156">
        <f t="shared" si="20"/>
        <v>0</v>
      </c>
      <c r="AE208" s="156">
        <f t="shared" si="20"/>
        <v>0</v>
      </c>
      <c r="AF208" s="156">
        <f t="shared" si="20"/>
        <v>0</v>
      </c>
      <c r="AG208" s="156">
        <f t="shared" si="20"/>
        <v>0</v>
      </c>
      <c r="AH208" s="156">
        <f t="shared" si="20"/>
        <v>0</v>
      </c>
      <c r="AI208" s="156">
        <f t="shared" si="20"/>
        <v>46503.049999999996</v>
      </c>
      <c r="AJ208" s="156">
        <f t="shared" si="20"/>
        <v>80</v>
      </c>
      <c r="AK208" s="156">
        <f t="shared" si="20"/>
        <v>0</v>
      </c>
      <c r="AL208" s="156">
        <f t="shared" si="20"/>
        <v>252043.1</v>
      </c>
      <c r="AM208" s="156">
        <f t="shared" si="20"/>
        <v>-200396.71</v>
      </c>
      <c r="AN208" s="156">
        <f t="shared" si="20"/>
        <v>0</v>
      </c>
      <c r="AO208" s="156">
        <f t="shared" si="20"/>
        <v>16373.16</v>
      </c>
      <c r="AP208" s="156">
        <f t="shared" si="20"/>
        <v>0</v>
      </c>
      <c r="AQ208" s="156">
        <f t="shared" si="20"/>
        <v>0</v>
      </c>
      <c r="AR208" s="156">
        <f t="shared" si="20"/>
        <v>-2216.62</v>
      </c>
      <c r="AS208" s="156">
        <f t="shared" si="20"/>
        <v>-508107.73638968501</v>
      </c>
      <c r="AT208" s="156">
        <f t="shared" si="20"/>
        <v>4988279.9899999993</v>
      </c>
    </row>
    <row r="209" spans="1:46" ht="11.25" hidden="1" outlineLevel="3">
      <c r="A209" s="155" t="s">
        <v>152</v>
      </c>
      <c r="B209" s="155" t="s">
        <v>154</v>
      </c>
      <c r="C209" s="155" t="s">
        <v>133</v>
      </c>
      <c r="D209" s="156" t="s">
        <v>64</v>
      </c>
      <c r="E209" s="156" t="s">
        <v>163</v>
      </c>
      <c r="F209" s="157">
        <v>0</v>
      </c>
      <c r="G209" s="157">
        <v>1296388</v>
      </c>
      <c r="H209" s="156">
        <v>115457.83</v>
      </c>
      <c r="I209" s="156">
        <v>0</v>
      </c>
      <c r="J209" s="156">
        <v>0</v>
      </c>
      <c r="K209" s="156">
        <v>3476.56</v>
      </c>
      <c r="L209" s="156">
        <v>0</v>
      </c>
      <c r="M209" s="156">
        <v>0</v>
      </c>
      <c r="N209" s="156">
        <f>J209+K209+L209+M209</f>
        <v>3476.56</v>
      </c>
      <c r="O209" s="156">
        <v>0</v>
      </c>
      <c r="P209" s="156">
        <v>0</v>
      </c>
      <c r="Q209" s="156">
        <v>0</v>
      </c>
      <c r="R209" s="156">
        <v>0</v>
      </c>
      <c r="S209" s="156">
        <v>0</v>
      </c>
      <c r="T209" s="156">
        <v>5743.9</v>
      </c>
      <c r="U209" s="156">
        <v>0</v>
      </c>
      <c r="V209" s="156">
        <v>0</v>
      </c>
      <c r="W209" s="156">
        <v>0</v>
      </c>
      <c r="X209" s="156">
        <v>0</v>
      </c>
      <c r="Y209" s="156">
        <v>0</v>
      </c>
      <c r="Z209" s="156">
        <v>920.44</v>
      </c>
      <c r="AA209" s="156">
        <v>0</v>
      </c>
      <c r="AB209" s="156">
        <v>0</v>
      </c>
      <c r="AC209" s="156">
        <v>0</v>
      </c>
      <c r="AD209" s="156">
        <v>0</v>
      </c>
      <c r="AE209" s="156">
        <v>0</v>
      </c>
      <c r="AF209" s="156">
        <v>0</v>
      </c>
      <c r="AG209" s="156">
        <v>0</v>
      </c>
      <c r="AH209" s="156">
        <v>0</v>
      </c>
      <c r="AI209" s="156">
        <v>0</v>
      </c>
      <c r="AJ209" s="156">
        <v>0</v>
      </c>
      <c r="AK209" s="156">
        <v>0</v>
      </c>
      <c r="AL209" s="156">
        <v>0</v>
      </c>
      <c r="AM209" s="156">
        <v>-3863.23</v>
      </c>
      <c r="AN209" s="156">
        <v>0</v>
      </c>
      <c r="AO209" s="156">
        <v>0</v>
      </c>
      <c r="AP209" s="156">
        <v>0</v>
      </c>
      <c r="AQ209" s="156">
        <v>0</v>
      </c>
      <c r="AR209" s="156">
        <v>0</v>
      </c>
      <c r="AS209" s="156">
        <v>0</v>
      </c>
      <c r="AT209" s="156">
        <f>H209+I209+N209+O209+P209+Q209+T209+X209+Y209+Z209+AA209+AB209+AM209+AO209</f>
        <v>121735.5</v>
      </c>
    </row>
    <row r="210" spans="1:46" ht="11.25" hidden="1" outlineLevel="3">
      <c r="A210" s="155" t="s">
        <v>152</v>
      </c>
      <c r="B210" s="155" t="s">
        <v>155</v>
      </c>
      <c r="C210" s="155" t="s">
        <v>133</v>
      </c>
      <c r="D210" s="156" t="s">
        <v>64</v>
      </c>
      <c r="E210" s="156" t="s">
        <v>163</v>
      </c>
      <c r="F210" s="157">
        <v>0</v>
      </c>
      <c r="G210" s="157">
        <v>5383200</v>
      </c>
      <c r="H210" s="156">
        <v>360312.86</v>
      </c>
      <c r="I210" s="156">
        <v>4969.3900000000003</v>
      </c>
      <c r="J210" s="156">
        <v>0</v>
      </c>
      <c r="K210" s="156">
        <v>6210.5</v>
      </c>
      <c r="L210" s="156">
        <v>0</v>
      </c>
      <c r="M210" s="156">
        <v>0</v>
      </c>
      <c r="N210" s="156">
        <f>J210+K210+L210+M210</f>
        <v>6210.5</v>
      </c>
      <c r="O210" s="156">
        <v>0</v>
      </c>
      <c r="P210" s="156">
        <v>0</v>
      </c>
      <c r="Q210" s="156">
        <v>0</v>
      </c>
      <c r="R210" s="156">
        <v>0</v>
      </c>
      <c r="S210" s="156">
        <v>0</v>
      </c>
      <c r="T210" s="156">
        <v>8786.4599999999991</v>
      </c>
      <c r="U210" s="156">
        <v>0</v>
      </c>
      <c r="V210" s="156">
        <v>0</v>
      </c>
      <c r="W210" s="156">
        <v>0</v>
      </c>
      <c r="X210" s="156">
        <v>0</v>
      </c>
      <c r="Y210" s="156">
        <v>0</v>
      </c>
      <c r="Z210" s="156">
        <v>3822.07</v>
      </c>
      <c r="AA210" s="156">
        <v>0</v>
      </c>
      <c r="AB210" s="156">
        <v>0</v>
      </c>
      <c r="AC210" s="156">
        <v>0</v>
      </c>
      <c r="AD210" s="156">
        <v>0</v>
      </c>
      <c r="AE210" s="156">
        <v>0</v>
      </c>
      <c r="AF210" s="156">
        <v>0</v>
      </c>
      <c r="AG210" s="156">
        <v>0</v>
      </c>
      <c r="AH210" s="156">
        <v>0</v>
      </c>
      <c r="AI210" s="156">
        <v>0</v>
      </c>
      <c r="AJ210" s="156">
        <v>0</v>
      </c>
      <c r="AK210" s="156">
        <v>0</v>
      </c>
      <c r="AL210" s="156">
        <v>0</v>
      </c>
      <c r="AM210" s="156">
        <v>-16041.94</v>
      </c>
      <c r="AN210" s="156">
        <v>0</v>
      </c>
      <c r="AO210" s="156">
        <v>0</v>
      </c>
      <c r="AP210" s="156">
        <v>0</v>
      </c>
      <c r="AQ210" s="156">
        <v>0</v>
      </c>
      <c r="AR210" s="156">
        <v>0</v>
      </c>
      <c r="AS210" s="156">
        <v>0</v>
      </c>
      <c r="AT210" s="156">
        <f>H210+I210+N210+O210+P210+Q210+T210+X210+Y210+Z210+AA210+AB210+AM210+AO210</f>
        <v>368059.34</v>
      </c>
    </row>
    <row r="211" spans="1:46" ht="11.25" hidden="1" outlineLevel="3">
      <c r="A211" s="155" t="s">
        <v>152</v>
      </c>
      <c r="B211" s="155" t="s">
        <v>157</v>
      </c>
      <c r="C211" s="155" t="s">
        <v>133</v>
      </c>
      <c r="D211" s="156" t="s">
        <v>64</v>
      </c>
      <c r="E211" s="156" t="s">
        <v>163</v>
      </c>
      <c r="F211" s="157">
        <v>0</v>
      </c>
      <c r="G211" s="157">
        <v>5241600</v>
      </c>
      <c r="H211" s="156">
        <v>387128.89</v>
      </c>
      <c r="I211" s="156">
        <v>240</v>
      </c>
      <c r="J211" s="156">
        <v>0</v>
      </c>
      <c r="K211" s="156">
        <v>16693.84</v>
      </c>
      <c r="L211" s="156">
        <v>0</v>
      </c>
      <c r="M211" s="156">
        <v>0</v>
      </c>
      <c r="N211" s="156">
        <f>J211+K211+L211+M211</f>
        <v>16693.84</v>
      </c>
      <c r="O211" s="156">
        <v>0</v>
      </c>
      <c r="P211" s="156">
        <v>0</v>
      </c>
      <c r="Q211" s="156">
        <v>0</v>
      </c>
      <c r="R211" s="156">
        <v>0</v>
      </c>
      <c r="S211" s="156">
        <v>0</v>
      </c>
      <c r="T211" s="156">
        <v>25970.99</v>
      </c>
      <c r="U211" s="156">
        <v>0</v>
      </c>
      <c r="V211" s="156">
        <v>0</v>
      </c>
      <c r="W211" s="156">
        <v>0</v>
      </c>
      <c r="X211" s="156">
        <v>0</v>
      </c>
      <c r="Y211" s="156">
        <v>0</v>
      </c>
      <c r="Z211" s="156">
        <v>0</v>
      </c>
      <c r="AA211" s="156">
        <v>0</v>
      </c>
      <c r="AB211" s="156">
        <v>0</v>
      </c>
      <c r="AC211" s="156">
        <v>0</v>
      </c>
      <c r="AD211" s="156">
        <v>0</v>
      </c>
      <c r="AE211" s="156">
        <v>0</v>
      </c>
      <c r="AF211" s="156">
        <v>0</v>
      </c>
      <c r="AG211" s="156">
        <v>0</v>
      </c>
      <c r="AH211" s="156">
        <v>0</v>
      </c>
      <c r="AI211" s="156">
        <v>0</v>
      </c>
      <c r="AJ211" s="156">
        <v>0</v>
      </c>
      <c r="AK211" s="156">
        <v>0</v>
      </c>
      <c r="AL211" s="156">
        <v>0</v>
      </c>
      <c r="AM211" s="156">
        <v>-15619.97</v>
      </c>
      <c r="AN211" s="156">
        <v>0</v>
      </c>
      <c r="AO211" s="156">
        <v>0</v>
      </c>
      <c r="AP211" s="156">
        <v>0</v>
      </c>
      <c r="AQ211" s="156">
        <v>0</v>
      </c>
      <c r="AR211" s="156">
        <v>0</v>
      </c>
      <c r="AS211" s="156">
        <v>0</v>
      </c>
      <c r="AT211" s="156">
        <f>H211+I211+N211+O211+P211+Q211+T211+X211+Y211+Z211+AA211+AB211+AM211+AO211</f>
        <v>414413.75000000006</v>
      </c>
    </row>
    <row r="212" spans="1:46" ht="11.25" outlineLevel="2" collapsed="1">
      <c r="D212" s="156"/>
      <c r="E212" s="156" t="s">
        <v>221</v>
      </c>
      <c r="F212" s="157">
        <v>7</v>
      </c>
      <c r="G212" s="157">
        <f t="shared" ref="G212:AT212" si="21">SUBTOTAL(9,G209:G211)</f>
        <v>11921188</v>
      </c>
      <c r="H212" s="156">
        <f t="shared" si="21"/>
        <v>862899.58000000007</v>
      </c>
      <c r="I212" s="156">
        <f t="shared" si="21"/>
        <v>5209.3900000000003</v>
      </c>
      <c r="J212" s="156">
        <f t="shared" si="21"/>
        <v>0</v>
      </c>
      <c r="K212" s="156">
        <f t="shared" si="21"/>
        <v>26380.9</v>
      </c>
      <c r="L212" s="156">
        <f t="shared" si="21"/>
        <v>0</v>
      </c>
      <c r="M212" s="156">
        <f t="shared" si="21"/>
        <v>0</v>
      </c>
      <c r="N212" s="156">
        <f t="shared" si="21"/>
        <v>26380.9</v>
      </c>
      <c r="O212" s="156">
        <f t="shared" si="21"/>
        <v>0</v>
      </c>
      <c r="P212" s="156">
        <f t="shared" si="21"/>
        <v>0</v>
      </c>
      <c r="Q212" s="156">
        <f t="shared" si="21"/>
        <v>0</v>
      </c>
      <c r="R212" s="156">
        <f t="shared" si="21"/>
        <v>0</v>
      </c>
      <c r="S212" s="156">
        <f t="shared" si="21"/>
        <v>0</v>
      </c>
      <c r="T212" s="156">
        <f t="shared" si="21"/>
        <v>40501.35</v>
      </c>
      <c r="U212" s="156">
        <f t="shared" si="21"/>
        <v>0</v>
      </c>
      <c r="V212" s="156">
        <f t="shared" si="21"/>
        <v>0</v>
      </c>
      <c r="W212" s="156">
        <f t="shared" si="21"/>
        <v>0</v>
      </c>
      <c r="X212" s="156">
        <f t="shared" si="21"/>
        <v>0</v>
      </c>
      <c r="Y212" s="156">
        <f t="shared" si="21"/>
        <v>0</v>
      </c>
      <c r="Z212" s="156">
        <f t="shared" si="21"/>
        <v>4742.51</v>
      </c>
      <c r="AA212" s="156">
        <f t="shared" si="21"/>
        <v>0</v>
      </c>
      <c r="AB212" s="156">
        <f t="shared" si="21"/>
        <v>0</v>
      </c>
      <c r="AC212" s="156">
        <f t="shared" si="21"/>
        <v>0</v>
      </c>
      <c r="AD212" s="156">
        <f t="shared" si="21"/>
        <v>0</v>
      </c>
      <c r="AE212" s="156">
        <f t="shared" si="21"/>
        <v>0</v>
      </c>
      <c r="AF212" s="156">
        <f t="shared" si="21"/>
        <v>0</v>
      </c>
      <c r="AG212" s="156">
        <f t="shared" si="21"/>
        <v>0</v>
      </c>
      <c r="AH212" s="156">
        <f t="shared" si="21"/>
        <v>0</v>
      </c>
      <c r="AI212" s="156">
        <f t="shared" si="21"/>
        <v>0</v>
      </c>
      <c r="AJ212" s="156">
        <f t="shared" si="21"/>
        <v>0</v>
      </c>
      <c r="AK212" s="156">
        <f t="shared" si="21"/>
        <v>0</v>
      </c>
      <c r="AL212" s="156">
        <f t="shared" si="21"/>
        <v>0</v>
      </c>
      <c r="AM212" s="156">
        <f t="shared" si="21"/>
        <v>-35525.14</v>
      </c>
      <c r="AN212" s="156">
        <f t="shared" si="21"/>
        <v>0</v>
      </c>
      <c r="AO212" s="156">
        <f t="shared" si="21"/>
        <v>0</v>
      </c>
      <c r="AP212" s="156">
        <f t="shared" si="21"/>
        <v>0</v>
      </c>
      <c r="AQ212" s="156">
        <f t="shared" si="21"/>
        <v>0</v>
      </c>
      <c r="AR212" s="156">
        <f t="shared" si="21"/>
        <v>0</v>
      </c>
      <c r="AS212" s="156">
        <f t="shared" si="21"/>
        <v>0</v>
      </c>
      <c r="AT212" s="156">
        <f t="shared" si="21"/>
        <v>904208.59000000008</v>
      </c>
    </row>
    <row r="213" spans="1:46" ht="11.25" hidden="1" outlineLevel="3">
      <c r="A213" s="155" t="s">
        <v>131</v>
      </c>
      <c r="B213" s="155" t="s">
        <v>132</v>
      </c>
      <c r="C213" s="155" t="s">
        <v>133</v>
      </c>
      <c r="D213" s="156" t="s">
        <v>64</v>
      </c>
      <c r="E213" s="156" t="s">
        <v>141</v>
      </c>
      <c r="F213" s="157">
        <v>0</v>
      </c>
      <c r="G213" s="157">
        <v>98</v>
      </c>
      <c r="H213" s="156">
        <v>41.7</v>
      </c>
      <c r="I213" s="156">
        <v>1.45</v>
      </c>
      <c r="J213" s="156">
        <v>0</v>
      </c>
      <c r="K213" s="156">
        <v>0</v>
      </c>
      <c r="L213" s="156">
        <v>2.86</v>
      </c>
      <c r="M213" s="156">
        <v>0</v>
      </c>
      <c r="N213" s="156">
        <f t="shared" ref="N213:N221" si="22">J213+K213+L213+M213</f>
        <v>2.86</v>
      </c>
      <c r="O213" s="156">
        <v>0.14000000000000001</v>
      </c>
      <c r="P213" s="156">
        <v>0.39</v>
      </c>
      <c r="Q213" s="156">
        <v>0</v>
      </c>
      <c r="R213" s="156">
        <v>0</v>
      </c>
      <c r="S213" s="156">
        <v>0</v>
      </c>
      <c r="T213" s="156">
        <v>0</v>
      </c>
      <c r="U213" s="156">
        <v>0</v>
      </c>
      <c r="V213" s="156">
        <v>0</v>
      </c>
      <c r="W213" s="156">
        <v>0</v>
      </c>
      <c r="X213" s="156">
        <v>0</v>
      </c>
      <c r="Y213" s="156">
        <v>0.2</v>
      </c>
      <c r="Z213" s="156">
        <v>0</v>
      </c>
      <c r="AA213" s="156">
        <v>0</v>
      </c>
      <c r="AB213" s="156">
        <v>0</v>
      </c>
      <c r="AC213" s="156">
        <v>0</v>
      </c>
      <c r="AD213" s="156">
        <v>0</v>
      </c>
      <c r="AE213" s="156">
        <v>0</v>
      </c>
      <c r="AF213" s="156">
        <v>0</v>
      </c>
      <c r="AG213" s="156">
        <v>0</v>
      </c>
      <c r="AH213" s="156">
        <v>0</v>
      </c>
      <c r="AI213" s="156">
        <v>0</v>
      </c>
      <c r="AJ213" s="156">
        <v>0</v>
      </c>
      <c r="AK213" s="156">
        <v>0</v>
      </c>
      <c r="AL213" s="156">
        <v>0</v>
      </c>
      <c r="AM213" s="156">
        <v>-9</v>
      </c>
      <c r="AN213" s="156">
        <v>0</v>
      </c>
      <c r="AO213" s="156">
        <v>0</v>
      </c>
      <c r="AP213" s="156">
        <v>0</v>
      </c>
      <c r="AQ213" s="156">
        <v>0</v>
      </c>
      <c r="AR213" s="156">
        <v>0</v>
      </c>
      <c r="AS213" s="156">
        <v>0</v>
      </c>
      <c r="AT213" s="156">
        <f t="shared" ref="AT213:AT221" si="23">H213+I213+N213+O213+P213+Q213+T213+X213+Y213+Z213+AA213+AB213+AM213+AO213</f>
        <v>37.740000000000009</v>
      </c>
    </row>
    <row r="214" spans="1:46" ht="11.25" hidden="1" outlineLevel="3">
      <c r="A214" s="155" t="s">
        <v>145</v>
      </c>
      <c r="B214" s="155" t="s">
        <v>146</v>
      </c>
      <c r="C214" s="155" t="s">
        <v>133</v>
      </c>
      <c r="D214" s="156" t="s">
        <v>64</v>
      </c>
      <c r="E214" s="156" t="s">
        <v>141</v>
      </c>
      <c r="F214" s="157">
        <v>0</v>
      </c>
      <c r="G214" s="157">
        <v>2088</v>
      </c>
      <c r="H214" s="156">
        <v>366.72</v>
      </c>
      <c r="I214" s="156">
        <v>3.3</v>
      </c>
      <c r="J214" s="156">
        <v>0</v>
      </c>
      <c r="K214" s="156">
        <v>0</v>
      </c>
      <c r="L214" s="156">
        <v>0</v>
      </c>
      <c r="M214" s="156">
        <v>60.97</v>
      </c>
      <c r="N214" s="156">
        <f t="shared" si="22"/>
        <v>60.97</v>
      </c>
      <c r="O214" s="156">
        <v>0</v>
      </c>
      <c r="P214" s="156">
        <v>0</v>
      </c>
      <c r="Q214" s="156">
        <v>2.78</v>
      </c>
      <c r="R214" s="156">
        <v>0</v>
      </c>
      <c r="S214" s="156">
        <v>0</v>
      </c>
      <c r="T214" s="156">
        <v>0</v>
      </c>
      <c r="U214" s="156">
        <v>0</v>
      </c>
      <c r="V214" s="156">
        <v>0</v>
      </c>
      <c r="W214" s="156">
        <v>0</v>
      </c>
      <c r="X214" s="156">
        <v>0</v>
      </c>
      <c r="Y214" s="156">
        <v>0</v>
      </c>
      <c r="Z214" s="156">
        <v>0</v>
      </c>
      <c r="AA214" s="156">
        <v>0</v>
      </c>
      <c r="AB214" s="156">
        <v>0</v>
      </c>
      <c r="AC214" s="156">
        <v>0</v>
      </c>
      <c r="AD214" s="156">
        <v>0</v>
      </c>
      <c r="AE214" s="156">
        <v>0</v>
      </c>
      <c r="AF214" s="156">
        <v>0</v>
      </c>
      <c r="AG214" s="156">
        <v>0</v>
      </c>
      <c r="AH214" s="156">
        <v>0</v>
      </c>
      <c r="AI214" s="156">
        <v>0</v>
      </c>
      <c r="AJ214" s="156">
        <v>0</v>
      </c>
      <c r="AK214" s="156">
        <v>0</v>
      </c>
      <c r="AL214" s="156">
        <v>3.76</v>
      </c>
      <c r="AM214" s="156">
        <v>0</v>
      </c>
      <c r="AN214" s="156">
        <v>0</v>
      </c>
      <c r="AO214" s="156">
        <v>1.45</v>
      </c>
      <c r="AP214" s="156">
        <v>0</v>
      </c>
      <c r="AQ214" s="156">
        <v>0</v>
      </c>
      <c r="AR214" s="156">
        <v>0</v>
      </c>
      <c r="AS214" s="156">
        <v>0</v>
      </c>
      <c r="AT214" s="156">
        <f t="shared" si="23"/>
        <v>435.21999999999997</v>
      </c>
    </row>
    <row r="215" spans="1:46" ht="11.25" hidden="1" outlineLevel="3">
      <c r="A215" s="155" t="s">
        <v>152</v>
      </c>
      <c r="B215" s="155" t="s">
        <v>153</v>
      </c>
      <c r="C215" s="155" t="s">
        <v>133</v>
      </c>
      <c r="D215" s="156" t="s">
        <v>64</v>
      </c>
      <c r="E215" s="156" t="s">
        <v>141</v>
      </c>
      <c r="F215" s="157">
        <v>0</v>
      </c>
      <c r="G215" s="157">
        <v>1229</v>
      </c>
      <c r="H215" s="156">
        <v>394.81</v>
      </c>
      <c r="I215" s="156">
        <v>2.72</v>
      </c>
      <c r="J215" s="156">
        <v>0</v>
      </c>
      <c r="K215" s="156">
        <v>0.15</v>
      </c>
      <c r="L215" s="156">
        <v>0</v>
      </c>
      <c r="M215" s="156">
        <v>0</v>
      </c>
      <c r="N215" s="156">
        <f t="shared" si="22"/>
        <v>0.15</v>
      </c>
      <c r="O215" s="156">
        <v>0</v>
      </c>
      <c r="P215" s="156">
        <v>0</v>
      </c>
      <c r="Q215" s="156">
        <v>0</v>
      </c>
      <c r="R215" s="156">
        <v>0</v>
      </c>
      <c r="S215" s="156">
        <v>0</v>
      </c>
      <c r="T215" s="156">
        <v>0</v>
      </c>
      <c r="U215" s="156">
        <v>0</v>
      </c>
      <c r="V215" s="156">
        <v>0</v>
      </c>
      <c r="W215" s="156">
        <v>0</v>
      </c>
      <c r="X215" s="156">
        <v>0</v>
      </c>
      <c r="Y215" s="156">
        <v>0</v>
      </c>
      <c r="Z215" s="156">
        <v>0.47</v>
      </c>
      <c r="AA215" s="156">
        <v>0</v>
      </c>
      <c r="AB215" s="156">
        <v>0</v>
      </c>
      <c r="AC215" s="156">
        <v>0</v>
      </c>
      <c r="AD215" s="156">
        <v>0</v>
      </c>
      <c r="AE215" s="156">
        <v>0</v>
      </c>
      <c r="AF215" s="156">
        <v>0</v>
      </c>
      <c r="AG215" s="156">
        <v>0</v>
      </c>
      <c r="AH215" s="156">
        <v>0</v>
      </c>
      <c r="AI215" s="156">
        <v>0</v>
      </c>
      <c r="AJ215" s="156">
        <v>0</v>
      </c>
      <c r="AK215" s="156">
        <v>0</v>
      </c>
      <c r="AL215" s="156">
        <v>0</v>
      </c>
      <c r="AM215" s="156">
        <v>-8.3000000000000007</v>
      </c>
      <c r="AN215" s="156">
        <v>0</v>
      </c>
      <c r="AO215" s="156">
        <v>0</v>
      </c>
      <c r="AP215" s="156">
        <v>0</v>
      </c>
      <c r="AQ215" s="156">
        <v>0</v>
      </c>
      <c r="AR215" s="156">
        <v>0</v>
      </c>
      <c r="AS215" s="156">
        <v>0</v>
      </c>
      <c r="AT215" s="156">
        <f t="shared" si="23"/>
        <v>389.85</v>
      </c>
    </row>
    <row r="216" spans="1:46" ht="11.25" hidden="1" outlineLevel="3">
      <c r="A216" s="155" t="s">
        <v>152</v>
      </c>
      <c r="B216" s="155" t="s">
        <v>154</v>
      </c>
      <c r="C216" s="155" t="s">
        <v>133</v>
      </c>
      <c r="D216" s="156" t="s">
        <v>64</v>
      </c>
      <c r="E216" s="156" t="s">
        <v>141</v>
      </c>
      <c r="F216" s="157">
        <v>0</v>
      </c>
      <c r="G216" s="157">
        <v>1114</v>
      </c>
      <c r="H216" s="156">
        <v>356.96</v>
      </c>
      <c r="I216" s="156">
        <v>1.84</v>
      </c>
      <c r="J216" s="156">
        <v>0</v>
      </c>
      <c r="K216" s="156">
        <v>2.14</v>
      </c>
      <c r="L216" s="156">
        <v>0</v>
      </c>
      <c r="M216" s="156">
        <v>0</v>
      </c>
      <c r="N216" s="156">
        <f t="shared" si="22"/>
        <v>2.14</v>
      </c>
      <c r="O216" s="156">
        <v>0</v>
      </c>
      <c r="P216" s="156">
        <v>0</v>
      </c>
      <c r="Q216" s="156">
        <v>0</v>
      </c>
      <c r="R216" s="156">
        <v>0</v>
      </c>
      <c r="S216" s="156">
        <v>0</v>
      </c>
      <c r="T216" s="156">
        <v>0</v>
      </c>
      <c r="U216" s="156">
        <v>0</v>
      </c>
      <c r="V216" s="156">
        <v>0</v>
      </c>
      <c r="W216" s="156">
        <v>0</v>
      </c>
      <c r="X216" s="156">
        <v>0</v>
      </c>
      <c r="Y216" s="156">
        <v>0</v>
      </c>
      <c r="Z216" s="156">
        <v>0.1</v>
      </c>
      <c r="AA216" s="156">
        <v>0</v>
      </c>
      <c r="AB216" s="156">
        <v>0</v>
      </c>
      <c r="AC216" s="156">
        <v>0</v>
      </c>
      <c r="AD216" s="156">
        <v>0</v>
      </c>
      <c r="AE216" s="156">
        <v>0</v>
      </c>
      <c r="AF216" s="156">
        <v>0</v>
      </c>
      <c r="AG216" s="156">
        <v>0</v>
      </c>
      <c r="AH216" s="156">
        <v>0</v>
      </c>
      <c r="AI216" s="156">
        <v>0</v>
      </c>
      <c r="AJ216" s="156">
        <v>0</v>
      </c>
      <c r="AK216" s="156">
        <v>0</v>
      </c>
      <c r="AL216" s="156">
        <v>3.6</v>
      </c>
      <c r="AM216" s="156">
        <v>-7.53</v>
      </c>
      <c r="AN216" s="156">
        <v>0</v>
      </c>
      <c r="AO216" s="156">
        <v>0</v>
      </c>
      <c r="AP216" s="156">
        <v>0</v>
      </c>
      <c r="AQ216" s="156">
        <v>0</v>
      </c>
      <c r="AR216" s="156">
        <v>0</v>
      </c>
      <c r="AS216" s="156">
        <v>0</v>
      </c>
      <c r="AT216" s="156">
        <f t="shared" si="23"/>
        <v>353.51</v>
      </c>
    </row>
    <row r="217" spans="1:46" ht="11.25" hidden="1" outlineLevel="3">
      <c r="A217" s="155" t="s">
        <v>152</v>
      </c>
      <c r="B217" s="155" t="s">
        <v>157</v>
      </c>
      <c r="C217" s="155" t="s">
        <v>133</v>
      </c>
      <c r="D217" s="156" t="s">
        <v>64</v>
      </c>
      <c r="E217" s="156" t="s">
        <v>141</v>
      </c>
      <c r="F217" s="157">
        <v>0</v>
      </c>
      <c r="G217" s="157">
        <v>2040</v>
      </c>
      <c r="H217" s="156">
        <v>410.63</v>
      </c>
      <c r="I217" s="156">
        <v>21.48</v>
      </c>
      <c r="J217" s="156">
        <v>0</v>
      </c>
      <c r="K217" s="156">
        <v>4.4000000000000004</v>
      </c>
      <c r="L217" s="156">
        <v>0</v>
      </c>
      <c r="M217" s="156">
        <v>0</v>
      </c>
      <c r="N217" s="156">
        <f t="shared" si="22"/>
        <v>4.4000000000000004</v>
      </c>
      <c r="O217" s="156">
        <v>0</v>
      </c>
      <c r="P217" s="156">
        <v>0</v>
      </c>
      <c r="Q217" s="156">
        <v>0</v>
      </c>
      <c r="R217" s="156">
        <v>0</v>
      </c>
      <c r="S217" s="156">
        <v>0</v>
      </c>
      <c r="T217" s="156">
        <v>0</v>
      </c>
      <c r="U217" s="156">
        <v>0</v>
      </c>
      <c r="V217" s="156">
        <v>0</v>
      </c>
      <c r="W217" s="156">
        <v>0</v>
      </c>
      <c r="X217" s="156">
        <v>0</v>
      </c>
      <c r="Y217" s="156">
        <v>0</v>
      </c>
      <c r="Z217" s="156">
        <v>0.48</v>
      </c>
      <c r="AA217" s="156">
        <v>0</v>
      </c>
      <c r="AB217" s="156">
        <v>0</v>
      </c>
      <c r="AC217" s="156">
        <v>0</v>
      </c>
      <c r="AD217" s="156">
        <v>0</v>
      </c>
      <c r="AE217" s="156">
        <v>0</v>
      </c>
      <c r="AF217" s="156">
        <v>0</v>
      </c>
      <c r="AG217" s="156">
        <v>0</v>
      </c>
      <c r="AH217" s="156">
        <v>0</v>
      </c>
      <c r="AI217" s="156">
        <v>0</v>
      </c>
      <c r="AJ217" s="156">
        <v>0</v>
      </c>
      <c r="AK217" s="156">
        <v>0</v>
      </c>
      <c r="AL217" s="156">
        <v>7.42</v>
      </c>
      <c r="AM217" s="156">
        <v>-13.79</v>
      </c>
      <c r="AN217" s="156">
        <v>0</v>
      </c>
      <c r="AO217" s="156">
        <v>0</v>
      </c>
      <c r="AP217" s="156">
        <v>0</v>
      </c>
      <c r="AQ217" s="156">
        <v>0</v>
      </c>
      <c r="AR217" s="156">
        <v>0</v>
      </c>
      <c r="AS217" s="156">
        <v>0</v>
      </c>
      <c r="AT217" s="156">
        <f t="shared" si="23"/>
        <v>423.2</v>
      </c>
    </row>
    <row r="218" spans="1:46" ht="11.25" hidden="1" outlineLevel="3">
      <c r="A218" s="155" t="s">
        <v>152</v>
      </c>
      <c r="B218" s="155" t="s">
        <v>137</v>
      </c>
      <c r="C218" s="155" t="s">
        <v>133</v>
      </c>
      <c r="D218" s="156" t="s">
        <v>64</v>
      </c>
      <c r="E218" s="156" t="s">
        <v>141</v>
      </c>
      <c r="F218" s="157">
        <v>0</v>
      </c>
      <c r="G218" s="157">
        <v>63</v>
      </c>
      <c r="H218" s="156">
        <v>93.32</v>
      </c>
      <c r="I218" s="156">
        <v>0</v>
      </c>
      <c r="J218" s="156">
        <v>0</v>
      </c>
      <c r="K218" s="156">
        <v>0.02</v>
      </c>
      <c r="L218" s="156">
        <v>0</v>
      </c>
      <c r="M218" s="156">
        <v>0</v>
      </c>
      <c r="N218" s="156">
        <f t="shared" si="22"/>
        <v>0.02</v>
      </c>
      <c r="O218" s="156">
        <v>0</v>
      </c>
      <c r="P218" s="156">
        <v>0</v>
      </c>
      <c r="Q218" s="156">
        <v>0</v>
      </c>
      <c r="R218" s="156">
        <v>0</v>
      </c>
      <c r="S218" s="156">
        <v>0</v>
      </c>
      <c r="T218" s="156">
        <v>0</v>
      </c>
      <c r="U218" s="156">
        <v>0</v>
      </c>
      <c r="V218" s="156">
        <v>0</v>
      </c>
      <c r="W218" s="156">
        <v>0</v>
      </c>
      <c r="X218" s="156">
        <v>0</v>
      </c>
      <c r="Y218" s="156">
        <v>0</v>
      </c>
      <c r="Z218" s="156">
        <v>0.01</v>
      </c>
      <c r="AA218" s="156">
        <v>0</v>
      </c>
      <c r="AB218" s="156">
        <v>0</v>
      </c>
      <c r="AC218" s="156">
        <v>0</v>
      </c>
      <c r="AD218" s="156">
        <v>0</v>
      </c>
      <c r="AE218" s="156">
        <v>0</v>
      </c>
      <c r="AF218" s="156">
        <v>0</v>
      </c>
      <c r="AG218" s="156">
        <v>0</v>
      </c>
      <c r="AH218" s="156">
        <v>0</v>
      </c>
      <c r="AI218" s="156">
        <v>0</v>
      </c>
      <c r="AJ218" s="156">
        <v>0</v>
      </c>
      <c r="AK218" s="156">
        <v>0</v>
      </c>
      <c r="AL218" s="156">
        <v>0</v>
      </c>
      <c r="AM218" s="156">
        <v>-0.42</v>
      </c>
      <c r="AN218" s="156">
        <v>0</v>
      </c>
      <c r="AO218" s="156">
        <v>0</v>
      </c>
      <c r="AP218" s="156">
        <v>0</v>
      </c>
      <c r="AQ218" s="156">
        <v>0</v>
      </c>
      <c r="AR218" s="156">
        <v>0</v>
      </c>
      <c r="AS218" s="156">
        <v>0</v>
      </c>
      <c r="AT218" s="156">
        <f t="shared" si="23"/>
        <v>92.929999999999993</v>
      </c>
    </row>
    <row r="219" spans="1:46" ht="11.25" hidden="1" outlineLevel="3">
      <c r="A219" s="155" t="s">
        <v>152</v>
      </c>
      <c r="B219" s="155" t="s">
        <v>158</v>
      </c>
      <c r="C219" s="155" t="s">
        <v>133</v>
      </c>
      <c r="D219" s="156" t="s">
        <v>64</v>
      </c>
      <c r="E219" s="156" t="s">
        <v>141</v>
      </c>
      <c r="F219" s="157">
        <v>0</v>
      </c>
      <c r="G219" s="157">
        <v>2755</v>
      </c>
      <c r="H219" s="156">
        <v>550.44000000000005</v>
      </c>
      <c r="I219" s="156">
        <v>3.25</v>
      </c>
      <c r="J219" s="156">
        <v>0</v>
      </c>
      <c r="K219" s="156">
        <v>-1.23</v>
      </c>
      <c r="L219" s="156">
        <v>0</v>
      </c>
      <c r="M219" s="156">
        <v>0</v>
      </c>
      <c r="N219" s="156">
        <f t="shared" si="22"/>
        <v>-1.23</v>
      </c>
      <c r="O219" s="156">
        <v>0</v>
      </c>
      <c r="P219" s="156">
        <v>0</v>
      </c>
      <c r="Q219" s="156">
        <v>0</v>
      </c>
      <c r="R219" s="156">
        <v>0</v>
      </c>
      <c r="S219" s="156">
        <v>0</v>
      </c>
      <c r="T219" s="156">
        <v>0</v>
      </c>
      <c r="U219" s="156">
        <v>0</v>
      </c>
      <c r="V219" s="156">
        <v>0</v>
      </c>
      <c r="W219" s="156">
        <v>0</v>
      </c>
      <c r="X219" s="156">
        <v>0</v>
      </c>
      <c r="Y219" s="156">
        <v>0</v>
      </c>
      <c r="Z219" s="156">
        <v>0.06</v>
      </c>
      <c r="AA219" s="156">
        <v>0</v>
      </c>
      <c r="AB219" s="156">
        <v>0</v>
      </c>
      <c r="AC219" s="156">
        <v>0</v>
      </c>
      <c r="AD219" s="156">
        <v>0</v>
      </c>
      <c r="AE219" s="156">
        <v>0</v>
      </c>
      <c r="AF219" s="156">
        <v>0</v>
      </c>
      <c r="AG219" s="156">
        <v>0</v>
      </c>
      <c r="AH219" s="156">
        <v>0</v>
      </c>
      <c r="AI219" s="156">
        <v>0</v>
      </c>
      <c r="AJ219" s="156">
        <v>0</v>
      </c>
      <c r="AK219" s="156">
        <v>0</v>
      </c>
      <c r="AL219" s="156">
        <v>3.87</v>
      </c>
      <c r="AM219" s="156">
        <v>-18.62</v>
      </c>
      <c r="AN219" s="156">
        <v>0</v>
      </c>
      <c r="AO219" s="156">
        <v>0</v>
      </c>
      <c r="AP219" s="156">
        <v>0</v>
      </c>
      <c r="AQ219" s="156">
        <v>0</v>
      </c>
      <c r="AR219" s="156">
        <v>0</v>
      </c>
      <c r="AS219" s="156">
        <v>0</v>
      </c>
      <c r="AT219" s="156">
        <f t="shared" si="23"/>
        <v>533.9</v>
      </c>
    </row>
    <row r="220" spans="1:46" ht="11.25" hidden="1" outlineLevel="3">
      <c r="A220" s="155" t="s">
        <v>152</v>
      </c>
      <c r="B220" s="155" t="s">
        <v>160</v>
      </c>
      <c r="C220" s="155" t="s">
        <v>133</v>
      </c>
      <c r="D220" s="156" t="s">
        <v>64</v>
      </c>
      <c r="E220" s="156" t="s">
        <v>141</v>
      </c>
      <c r="F220" s="157">
        <v>0</v>
      </c>
      <c r="G220" s="157">
        <v>4240</v>
      </c>
      <c r="H220" s="156">
        <v>618.16</v>
      </c>
      <c r="I220" s="156">
        <v>0</v>
      </c>
      <c r="J220" s="156">
        <v>0</v>
      </c>
      <c r="K220" s="156">
        <v>3.23</v>
      </c>
      <c r="L220" s="156">
        <v>0</v>
      </c>
      <c r="M220" s="156">
        <v>0</v>
      </c>
      <c r="N220" s="156">
        <f t="shared" si="22"/>
        <v>3.23</v>
      </c>
      <c r="O220" s="156">
        <v>0</v>
      </c>
      <c r="P220" s="156">
        <v>0</v>
      </c>
      <c r="Q220" s="156">
        <v>0</v>
      </c>
      <c r="R220" s="156">
        <v>0</v>
      </c>
      <c r="S220" s="156">
        <v>0</v>
      </c>
      <c r="T220" s="156">
        <v>0</v>
      </c>
      <c r="U220" s="156">
        <v>0</v>
      </c>
      <c r="V220" s="156">
        <v>0</v>
      </c>
      <c r="W220" s="156">
        <v>0</v>
      </c>
      <c r="X220" s="156">
        <v>0</v>
      </c>
      <c r="Y220" s="156">
        <v>0</v>
      </c>
      <c r="Z220" s="156">
        <v>3.01</v>
      </c>
      <c r="AA220" s="156">
        <v>0</v>
      </c>
      <c r="AB220" s="156">
        <v>0</v>
      </c>
      <c r="AC220" s="156">
        <v>0</v>
      </c>
      <c r="AD220" s="156">
        <v>0</v>
      </c>
      <c r="AE220" s="156">
        <v>0</v>
      </c>
      <c r="AF220" s="156">
        <v>0</v>
      </c>
      <c r="AG220" s="156">
        <v>0</v>
      </c>
      <c r="AH220" s="156">
        <v>0</v>
      </c>
      <c r="AI220" s="156">
        <v>0</v>
      </c>
      <c r="AJ220" s="156">
        <v>0</v>
      </c>
      <c r="AK220" s="156">
        <v>0</v>
      </c>
      <c r="AL220" s="156">
        <v>0</v>
      </c>
      <c r="AM220" s="156">
        <v>-28.66</v>
      </c>
      <c r="AN220" s="156">
        <v>0</v>
      </c>
      <c r="AO220" s="156">
        <v>0</v>
      </c>
      <c r="AP220" s="156">
        <v>0</v>
      </c>
      <c r="AQ220" s="156">
        <v>0</v>
      </c>
      <c r="AR220" s="156">
        <v>0</v>
      </c>
      <c r="AS220" s="156">
        <v>0</v>
      </c>
      <c r="AT220" s="156">
        <f t="shared" si="23"/>
        <v>595.74</v>
      </c>
    </row>
    <row r="221" spans="1:46" ht="11.25" hidden="1" outlineLevel="3">
      <c r="A221" s="155" t="s">
        <v>167</v>
      </c>
      <c r="B221" s="155" t="s">
        <v>146</v>
      </c>
      <c r="C221" s="155" t="s">
        <v>133</v>
      </c>
      <c r="D221" s="156" t="s">
        <v>64</v>
      </c>
      <c r="E221" s="156" t="s">
        <v>141</v>
      </c>
      <c r="F221" s="157">
        <v>0</v>
      </c>
      <c r="G221" s="157">
        <v>1160</v>
      </c>
      <c r="H221" s="156">
        <v>232.69</v>
      </c>
      <c r="I221" s="156">
        <v>0</v>
      </c>
      <c r="J221" s="156">
        <v>31.85</v>
      </c>
      <c r="K221" s="156">
        <v>0</v>
      </c>
      <c r="L221" s="156">
        <v>0</v>
      </c>
      <c r="M221" s="156">
        <v>0</v>
      </c>
      <c r="N221" s="156">
        <f t="shared" si="22"/>
        <v>31.85</v>
      </c>
      <c r="O221" s="156">
        <v>0</v>
      </c>
      <c r="P221" s="156">
        <v>0</v>
      </c>
      <c r="Q221" s="156">
        <v>0</v>
      </c>
      <c r="R221" s="156">
        <v>0</v>
      </c>
      <c r="S221" s="156">
        <v>0</v>
      </c>
      <c r="T221" s="156">
        <v>0</v>
      </c>
      <c r="U221" s="156">
        <v>0</v>
      </c>
      <c r="V221" s="156">
        <v>0</v>
      </c>
      <c r="W221" s="156">
        <v>0</v>
      </c>
      <c r="X221" s="156">
        <v>0.11</v>
      </c>
      <c r="Y221" s="156">
        <v>0</v>
      </c>
      <c r="Z221" s="156">
        <v>0</v>
      </c>
      <c r="AA221" s="156">
        <v>0</v>
      </c>
      <c r="AB221" s="156">
        <v>0</v>
      </c>
      <c r="AC221" s="156">
        <v>0</v>
      </c>
      <c r="AD221" s="156">
        <v>0</v>
      </c>
      <c r="AE221" s="156">
        <v>0</v>
      </c>
      <c r="AF221" s="156">
        <v>0</v>
      </c>
      <c r="AG221" s="156">
        <v>0</v>
      </c>
      <c r="AH221" s="156">
        <v>0</v>
      </c>
      <c r="AI221" s="156">
        <v>0</v>
      </c>
      <c r="AJ221" s="156">
        <v>0</v>
      </c>
      <c r="AK221" s="156">
        <v>0</v>
      </c>
      <c r="AL221" s="156">
        <v>0</v>
      </c>
      <c r="AM221" s="156">
        <v>-33.97</v>
      </c>
      <c r="AN221" s="156">
        <v>0</v>
      </c>
      <c r="AO221" s="156">
        <v>0</v>
      </c>
      <c r="AP221" s="156">
        <v>0</v>
      </c>
      <c r="AQ221" s="156">
        <v>0</v>
      </c>
      <c r="AR221" s="156">
        <v>0</v>
      </c>
      <c r="AS221" s="156">
        <v>0</v>
      </c>
      <c r="AT221" s="156">
        <f t="shared" si="23"/>
        <v>230.68000000000004</v>
      </c>
    </row>
    <row r="222" spans="1:46" ht="11.25" outlineLevel="2" collapsed="1">
      <c r="D222" s="156"/>
      <c r="E222" s="156" t="s">
        <v>222</v>
      </c>
      <c r="F222" s="157">
        <v>65</v>
      </c>
      <c r="G222" s="157">
        <f t="shared" ref="G222:AT222" si="24">SUBTOTAL(9,G213:G221)</f>
        <v>14787</v>
      </c>
      <c r="H222" s="156">
        <f t="shared" si="24"/>
        <v>3065.43</v>
      </c>
      <c r="I222" s="156">
        <f t="shared" si="24"/>
        <v>34.04</v>
      </c>
      <c r="J222" s="156">
        <f t="shared" si="24"/>
        <v>31.85</v>
      </c>
      <c r="K222" s="156">
        <f t="shared" si="24"/>
        <v>8.7100000000000009</v>
      </c>
      <c r="L222" s="156">
        <f t="shared" si="24"/>
        <v>2.86</v>
      </c>
      <c r="M222" s="156">
        <f t="shared" si="24"/>
        <v>60.97</v>
      </c>
      <c r="N222" s="156">
        <f t="shared" si="24"/>
        <v>104.38999999999999</v>
      </c>
      <c r="O222" s="156">
        <f t="shared" si="24"/>
        <v>0.14000000000000001</v>
      </c>
      <c r="P222" s="156">
        <f t="shared" si="24"/>
        <v>0.39</v>
      </c>
      <c r="Q222" s="156">
        <f t="shared" si="24"/>
        <v>2.78</v>
      </c>
      <c r="R222" s="156">
        <f t="shared" si="24"/>
        <v>0</v>
      </c>
      <c r="S222" s="156">
        <f t="shared" si="24"/>
        <v>0</v>
      </c>
      <c r="T222" s="156">
        <f t="shared" si="24"/>
        <v>0</v>
      </c>
      <c r="U222" s="156">
        <f t="shared" si="24"/>
        <v>0</v>
      </c>
      <c r="V222" s="156">
        <f t="shared" si="24"/>
        <v>0</v>
      </c>
      <c r="W222" s="156">
        <f t="shared" si="24"/>
        <v>0</v>
      </c>
      <c r="X222" s="156">
        <f t="shared" si="24"/>
        <v>0.11</v>
      </c>
      <c r="Y222" s="156">
        <f t="shared" si="24"/>
        <v>0.2</v>
      </c>
      <c r="Z222" s="156">
        <f t="shared" si="24"/>
        <v>4.13</v>
      </c>
      <c r="AA222" s="156">
        <f t="shared" si="24"/>
        <v>0</v>
      </c>
      <c r="AB222" s="156">
        <f t="shared" si="24"/>
        <v>0</v>
      </c>
      <c r="AC222" s="156">
        <f t="shared" si="24"/>
        <v>0</v>
      </c>
      <c r="AD222" s="156">
        <f t="shared" si="24"/>
        <v>0</v>
      </c>
      <c r="AE222" s="156">
        <f t="shared" si="24"/>
        <v>0</v>
      </c>
      <c r="AF222" s="156">
        <f t="shared" si="24"/>
        <v>0</v>
      </c>
      <c r="AG222" s="156">
        <f t="shared" si="24"/>
        <v>0</v>
      </c>
      <c r="AH222" s="156">
        <f t="shared" si="24"/>
        <v>0</v>
      </c>
      <c r="AI222" s="156">
        <f t="shared" si="24"/>
        <v>0</v>
      </c>
      <c r="AJ222" s="156">
        <f t="shared" si="24"/>
        <v>0</v>
      </c>
      <c r="AK222" s="156">
        <f t="shared" si="24"/>
        <v>0</v>
      </c>
      <c r="AL222" s="156">
        <f t="shared" si="24"/>
        <v>18.649999999999999</v>
      </c>
      <c r="AM222" s="156">
        <f t="shared" si="24"/>
        <v>-120.29</v>
      </c>
      <c r="AN222" s="156">
        <f t="shared" si="24"/>
        <v>0</v>
      </c>
      <c r="AO222" s="156">
        <f t="shared" si="24"/>
        <v>1.45</v>
      </c>
      <c r="AP222" s="156">
        <f t="shared" si="24"/>
        <v>0</v>
      </c>
      <c r="AQ222" s="156">
        <f t="shared" si="24"/>
        <v>0</v>
      </c>
      <c r="AR222" s="156">
        <f t="shared" si="24"/>
        <v>0</v>
      </c>
      <c r="AS222" s="156">
        <f t="shared" si="24"/>
        <v>0</v>
      </c>
      <c r="AT222" s="156">
        <f t="shared" si="24"/>
        <v>3092.77</v>
      </c>
    </row>
    <row r="223" spans="1:46" ht="11.25" hidden="1" outlineLevel="3">
      <c r="A223" s="155" t="s">
        <v>152</v>
      </c>
      <c r="B223" s="155" t="s">
        <v>154</v>
      </c>
      <c r="C223" s="155" t="s">
        <v>133</v>
      </c>
      <c r="D223" s="156" t="s">
        <v>64</v>
      </c>
      <c r="E223" s="156" t="s">
        <v>164</v>
      </c>
      <c r="F223" s="157">
        <v>0</v>
      </c>
      <c r="G223" s="157">
        <v>98</v>
      </c>
      <c r="H223" s="156">
        <v>22.98</v>
      </c>
      <c r="I223" s="156">
        <v>0.69</v>
      </c>
      <c r="J223" s="156">
        <v>0</v>
      </c>
      <c r="K223" s="156">
        <v>0.32</v>
      </c>
      <c r="L223" s="156">
        <v>0</v>
      </c>
      <c r="M223" s="156">
        <v>0</v>
      </c>
      <c r="N223" s="156">
        <f>J223+K223+L223+M223</f>
        <v>0.32</v>
      </c>
      <c r="O223" s="156">
        <v>0</v>
      </c>
      <c r="P223" s="156">
        <v>0</v>
      </c>
      <c r="Q223" s="156">
        <v>0</v>
      </c>
      <c r="R223" s="156">
        <v>0</v>
      </c>
      <c r="S223" s="156">
        <v>0</v>
      </c>
      <c r="T223" s="156">
        <v>0</v>
      </c>
      <c r="U223" s="156">
        <v>0</v>
      </c>
      <c r="V223" s="156">
        <v>0</v>
      </c>
      <c r="W223" s="156">
        <v>0</v>
      </c>
      <c r="X223" s="156">
        <v>0</v>
      </c>
      <c r="Y223" s="156">
        <v>0</v>
      </c>
      <c r="Z223" s="156">
        <v>7.0000000000000007E-2</v>
      </c>
      <c r="AA223" s="156">
        <v>0</v>
      </c>
      <c r="AB223" s="156">
        <v>0</v>
      </c>
      <c r="AC223" s="156">
        <v>0</v>
      </c>
      <c r="AD223" s="156">
        <v>0</v>
      </c>
      <c r="AE223" s="156">
        <v>0</v>
      </c>
      <c r="AF223" s="156">
        <v>0</v>
      </c>
      <c r="AG223" s="156">
        <v>0</v>
      </c>
      <c r="AH223" s="156">
        <v>0</v>
      </c>
      <c r="AI223" s="156">
        <v>0</v>
      </c>
      <c r="AJ223" s="156">
        <v>0</v>
      </c>
      <c r="AK223" s="156">
        <v>0</v>
      </c>
      <c r="AL223" s="156">
        <v>1.75</v>
      </c>
      <c r="AM223" s="156">
        <v>-0.26</v>
      </c>
      <c r="AN223" s="156">
        <v>0</v>
      </c>
      <c r="AO223" s="156">
        <v>0</v>
      </c>
      <c r="AP223" s="156">
        <v>0</v>
      </c>
      <c r="AQ223" s="156">
        <v>0</v>
      </c>
      <c r="AR223" s="156">
        <v>0</v>
      </c>
      <c r="AS223" s="156">
        <v>0</v>
      </c>
      <c r="AT223" s="156">
        <f>H223+I223+N223+O223+P223+Q223+T223+X223+Y223+Z223+AA223+AB223+AM223+AO223</f>
        <v>23.8</v>
      </c>
    </row>
    <row r="224" spans="1:46" ht="11.25" outlineLevel="2" collapsed="1">
      <c r="D224" s="156"/>
      <c r="E224" s="156" t="s">
        <v>223</v>
      </c>
      <c r="F224" s="157">
        <v>1</v>
      </c>
      <c r="G224" s="157">
        <f t="shared" ref="G224:AT224" si="25">SUBTOTAL(9,G223:G223)</f>
        <v>98</v>
      </c>
      <c r="H224" s="156">
        <f t="shared" si="25"/>
        <v>22.98</v>
      </c>
      <c r="I224" s="156">
        <f t="shared" si="25"/>
        <v>0.69</v>
      </c>
      <c r="J224" s="156">
        <f t="shared" si="25"/>
        <v>0</v>
      </c>
      <c r="K224" s="156">
        <f t="shared" si="25"/>
        <v>0.32</v>
      </c>
      <c r="L224" s="156">
        <f t="shared" si="25"/>
        <v>0</v>
      </c>
      <c r="M224" s="156">
        <f t="shared" si="25"/>
        <v>0</v>
      </c>
      <c r="N224" s="156">
        <f t="shared" si="25"/>
        <v>0.32</v>
      </c>
      <c r="O224" s="156">
        <f t="shared" si="25"/>
        <v>0</v>
      </c>
      <c r="P224" s="156">
        <f t="shared" si="25"/>
        <v>0</v>
      </c>
      <c r="Q224" s="156">
        <f t="shared" si="25"/>
        <v>0</v>
      </c>
      <c r="R224" s="156">
        <f t="shared" si="25"/>
        <v>0</v>
      </c>
      <c r="S224" s="156">
        <f t="shared" si="25"/>
        <v>0</v>
      </c>
      <c r="T224" s="156">
        <f t="shared" si="25"/>
        <v>0</v>
      </c>
      <c r="U224" s="156">
        <f t="shared" si="25"/>
        <v>0</v>
      </c>
      <c r="V224" s="156">
        <f t="shared" si="25"/>
        <v>0</v>
      </c>
      <c r="W224" s="156">
        <f t="shared" si="25"/>
        <v>0</v>
      </c>
      <c r="X224" s="156">
        <f t="shared" si="25"/>
        <v>0</v>
      </c>
      <c r="Y224" s="156">
        <f t="shared" si="25"/>
        <v>0</v>
      </c>
      <c r="Z224" s="156">
        <f t="shared" si="25"/>
        <v>7.0000000000000007E-2</v>
      </c>
      <c r="AA224" s="156">
        <f t="shared" si="25"/>
        <v>0</v>
      </c>
      <c r="AB224" s="156">
        <f t="shared" si="25"/>
        <v>0</v>
      </c>
      <c r="AC224" s="156">
        <f t="shared" si="25"/>
        <v>0</v>
      </c>
      <c r="AD224" s="156">
        <f t="shared" si="25"/>
        <v>0</v>
      </c>
      <c r="AE224" s="156">
        <f t="shared" si="25"/>
        <v>0</v>
      </c>
      <c r="AF224" s="156">
        <f t="shared" si="25"/>
        <v>0</v>
      </c>
      <c r="AG224" s="156">
        <f t="shared" si="25"/>
        <v>0</v>
      </c>
      <c r="AH224" s="156">
        <f t="shared" si="25"/>
        <v>0</v>
      </c>
      <c r="AI224" s="156">
        <f t="shared" si="25"/>
        <v>0</v>
      </c>
      <c r="AJ224" s="156">
        <f t="shared" si="25"/>
        <v>0</v>
      </c>
      <c r="AK224" s="156">
        <f t="shared" si="25"/>
        <v>0</v>
      </c>
      <c r="AL224" s="156">
        <f t="shared" si="25"/>
        <v>1.75</v>
      </c>
      <c r="AM224" s="156">
        <f t="shared" si="25"/>
        <v>-0.26</v>
      </c>
      <c r="AN224" s="156">
        <f t="shared" si="25"/>
        <v>0</v>
      </c>
      <c r="AO224" s="156">
        <f t="shared" si="25"/>
        <v>0</v>
      </c>
      <c r="AP224" s="156">
        <f t="shared" si="25"/>
        <v>0</v>
      </c>
      <c r="AQ224" s="156">
        <f t="shared" si="25"/>
        <v>0</v>
      </c>
      <c r="AR224" s="156">
        <f t="shared" si="25"/>
        <v>0</v>
      </c>
      <c r="AS224" s="156">
        <f t="shared" si="25"/>
        <v>0</v>
      </c>
      <c r="AT224" s="156">
        <f t="shared" si="25"/>
        <v>23.8</v>
      </c>
    </row>
    <row r="225" spans="1:46" ht="11.25" hidden="1" outlineLevel="3">
      <c r="A225" s="155" t="s">
        <v>167</v>
      </c>
      <c r="B225" s="155" t="s">
        <v>146</v>
      </c>
      <c r="C225" s="155" t="s">
        <v>133</v>
      </c>
      <c r="D225" s="156" t="s">
        <v>64</v>
      </c>
      <c r="E225" s="156" t="s">
        <v>168</v>
      </c>
      <c r="F225" s="157">
        <v>0</v>
      </c>
      <c r="G225" s="157">
        <v>0</v>
      </c>
      <c r="H225" s="156">
        <v>0</v>
      </c>
      <c r="I225" s="156">
        <v>0</v>
      </c>
      <c r="J225" s="156">
        <v>0</v>
      </c>
      <c r="K225" s="156">
        <v>0</v>
      </c>
      <c r="L225" s="156">
        <v>0</v>
      </c>
      <c r="M225" s="156">
        <v>0</v>
      </c>
      <c r="N225" s="156">
        <f>J225+K225+L225+M225</f>
        <v>0</v>
      </c>
      <c r="O225" s="156">
        <v>0</v>
      </c>
      <c r="P225" s="156">
        <v>0</v>
      </c>
      <c r="Q225" s="156">
        <v>0</v>
      </c>
      <c r="R225" s="156">
        <v>0</v>
      </c>
      <c r="S225" s="156">
        <v>0</v>
      </c>
      <c r="T225" s="156">
        <v>0</v>
      </c>
      <c r="U225" s="156">
        <v>0</v>
      </c>
      <c r="V225" s="156">
        <v>0</v>
      </c>
      <c r="W225" s="156">
        <v>0</v>
      </c>
      <c r="X225" s="156">
        <v>0</v>
      </c>
      <c r="Y225" s="156">
        <v>0</v>
      </c>
      <c r="Z225" s="156">
        <v>0</v>
      </c>
      <c r="AA225" s="156">
        <v>0</v>
      </c>
      <c r="AB225" s="156">
        <v>0</v>
      </c>
      <c r="AC225" s="156">
        <v>0</v>
      </c>
      <c r="AD225" s="156">
        <v>0</v>
      </c>
      <c r="AE225" s="156">
        <v>0</v>
      </c>
      <c r="AF225" s="156">
        <v>0</v>
      </c>
      <c r="AG225" s="156">
        <v>0</v>
      </c>
      <c r="AH225" s="156">
        <v>0</v>
      </c>
      <c r="AI225" s="156">
        <v>0</v>
      </c>
      <c r="AJ225" s="156">
        <v>0</v>
      </c>
      <c r="AK225" s="156">
        <v>0</v>
      </c>
      <c r="AL225" s="156">
        <v>0</v>
      </c>
      <c r="AM225" s="156">
        <v>0</v>
      </c>
      <c r="AN225" s="156">
        <v>0</v>
      </c>
      <c r="AO225" s="156">
        <v>0</v>
      </c>
      <c r="AP225" s="156">
        <v>0</v>
      </c>
      <c r="AQ225" s="156">
        <v>0</v>
      </c>
      <c r="AR225" s="156">
        <v>0</v>
      </c>
      <c r="AS225" s="156">
        <v>0</v>
      </c>
      <c r="AT225" s="156">
        <f>H225+I225+N225+O225+P225+Q225+T225+X225+Y225+Z225+AA225+AB225+AM225+AO225</f>
        <v>0</v>
      </c>
    </row>
    <row r="226" spans="1:46" ht="11.25" outlineLevel="2" collapsed="1">
      <c r="D226" s="156"/>
      <c r="E226" s="156" t="s">
        <v>224</v>
      </c>
      <c r="F226" s="157">
        <v>1</v>
      </c>
      <c r="G226" s="157">
        <f t="shared" ref="G226:AT226" si="26">SUBTOTAL(9,G225:G225)</f>
        <v>0</v>
      </c>
      <c r="H226" s="156">
        <f t="shared" si="26"/>
        <v>0</v>
      </c>
      <c r="I226" s="156">
        <f t="shared" si="26"/>
        <v>0</v>
      </c>
      <c r="J226" s="156">
        <f t="shared" si="26"/>
        <v>0</v>
      </c>
      <c r="K226" s="156">
        <f t="shared" si="26"/>
        <v>0</v>
      </c>
      <c r="L226" s="156">
        <f t="shared" si="26"/>
        <v>0</v>
      </c>
      <c r="M226" s="156">
        <f t="shared" si="26"/>
        <v>0</v>
      </c>
      <c r="N226" s="156">
        <f t="shared" si="26"/>
        <v>0</v>
      </c>
      <c r="O226" s="156">
        <f t="shared" si="26"/>
        <v>0</v>
      </c>
      <c r="P226" s="156">
        <f t="shared" si="26"/>
        <v>0</v>
      </c>
      <c r="Q226" s="156">
        <f t="shared" si="26"/>
        <v>0</v>
      </c>
      <c r="R226" s="156">
        <f t="shared" si="26"/>
        <v>0</v>
      </c>
      <c r="S226" s="156">
        <f t="shared" si="26"/>
        <v>0</v>
      </c>
      <c r="T226" s="156">
        <f t="shared" si="26"/>
        <v>0</v>
      </c>
      <c r="U226" s="156">
        <f t="shared" si="26"/>
        <v>0</v>
      </c>
      <c r="V226" s="156">
        <f t="shared" si="26"/>
        <v>0</v>
      </c>
      <c r="W226" s="156">
        <f t="shared" si="26"/>
        <v>0</v>
      </c>
      <c r="X226" s="156">
        <f t="shared" si="26"/>
        <v>0</v>
      </c>
      <c r="Y226" s="156">
        <f t="shared" si="26"/>
        <v>0</v>
      </c>
      <c r="Z226" s="156">
        <f t="shared" si="26"/>
        <v>0</v>
      </c>
      <c r="AA226" s="156">
        <f t="shared" si="26"/>
        <v>0</v>
      </c>
      <c r="AB226" s="156">
        <f t="shared" si="26"/>
        <v>0</v>
      </c>
      <c r="AC226" s="156">
        <f t="shared" si="26"/>
        <v>0</v>
      </c>
      <c r="AD226" s="156">
        <f t="shared" si="26"/>
        <v>0</v>
      </c>
      <c r="AE226" s="156">
        <f t="shared" si="26"/>
        <v>0</v>
      </c>
      <c r="AF226" s="156">
        <f t="shared" si="26"/>
        <v>0</v>
      </c>
      <c r="AG226" s="156">
        <f t="shared" si="26"/>
        <v>0</v>
      </c>
      <c r="AH226" s="156">
        <f t="shared" si="26"/>
        <v>0</v>
      </c>
      <c r="AI226" s="156">
        <f t="shared" si="26"/>
        <v>0</v>
      </c>
      <c r="AJ226" s="156">
        <f t="shared" si="26"/>
        <v>0</v>
      </c>
      <c r="AK226" s="156">
        <f t="shared" si="26"/>
        <v>0</v>
      </c>
      <c r="AL226" s="156">
        <f t="shared" si="26"/>
        <v>0</v>
      </c>
      <c r="AM226" s="156">
        <f t="shared" si="26"/>
        <v>0</v>
      </c>
      <c r="AN226" s="156">
        <f t="shared" si="26"/>
        <v>0</v>
      </c>
      <c r="AO226" s="156">
        <f t="shared" si="26"/>
        <v>0</v>
      </c>
      <c r="AP226" s="156">
        <f t="shared" si="26"/>
        <v>0</v>
      </c>
      <c r="AQ226" s="156">
        <f t="shared" si="26"/>
        <v>0</v>
      </c>
      <c r="AR226" s="156">
        <f t="shared" si="26"/>
        <v>0</v>
      </c>
      <c r="AS226" s="156">
        <f t="shared" si="26"/>
        <v>0</v>
      </c>
      <c r="AT226" s="156">
        <f t="shared" si="26"/>
        <v>0</v>
      </c>
    </row>
    <row r="227" spans="1:46" ht="11.25" hidden="1" outlineLevel="3">
      <c r="A227" s="155" t="s">
        <v>145</v>
      </c>
      <c r="B227" s="155" t="s">
        <v>146</v>
      </c>
      <c r="C227" s="155" t="s">
        <v>133</v>
      </c>
      <c r="D227" s="156" t="s">
        <v>64</v>
      </c>
      <c r="E227" s="156" t="s">
        <v>134</v>
      </c>
      <c r="F227" s="157">
        <v>0</v>
      </c>
      <c r="G227" s="157">
        <v>-207</v>
      </c>
      <c r="H227" s="156">
        <v>-5.33</v>
      </c>
      <c r="I227" s="156">
        <v>0</v>
      </c>
      <c r="J227" s="156">
        <v>0</v>
      </c>
      <c r="K227" s="156">
        <v>0</v>
      </c>
      <c r="L227" s="156">
        <v>0</v>
      </c>
      <c r="M227" s="156">
        <v>0</v>
      </c>
      <c r="N227" s="156">
        <f>J227+K227+L227+M227</f>
        <v>0</v>
      </c>
      <c r="O227" s="156">
        <v>0</v>
      </c>
      <c r="P227" s="156">
        <v>0</v>
      </c>
      <c r="Q227" s="156">
        <v>0</v>
      </c>
      <c r="R227" s="156">
        <v>0</v>
      </c>
      <c r="S227" s="156">
        <v>0</v>
      </c>
      <c r="T227" s="156">
        <v>0</v>
      </c>
      <c r="U227" s="156">
        <v>0</v>
      </c>
      <c r="V227" s="156">
        <v>0</v>
      </c>
      <c r="W227" s="156">
        <v>0</v>
      </c>
      <c r="X227" s="156">
        <v>0</v>
      </c>
      <c r="Y227" s="156">
        <v>0</v>
      </c>
      <c r="Z227" s="156">
        <v>0</v>
      </c>
      <c r="AA227" s="156">
        <v>0</v>
      </c>
      <c r="AB227" s="156">
        <v>0</v>
      </c>
      <c r="AC227" s="156">
        <v>0</v>
      </c>
      <c r="AD227" s="156">
        <v>0</v>
      </c>
      <c r="AE227" s="156">
        <v>0</v>
      </c>
      <c r="AF227" s="156">
        <v>0</v>
      </c>
      <c r="AG227" s="156">
        <v>0</v>
      </c>
      <c r="AH227" s="156">
        <v>0</v>
      </c>
      <c r="AI227" s="156">
        <v>0</v>
      </c>
      <c r="AJ227" s="156">
        <v>0</v>
      </c>
      <c r="AK227" s="156">
        <v>0</v>
      </c>
      <c r="AL227" s="156">
        <v>0</v>
      </c>
      <c r="AM227" s="156">
        <v>0</v>
      </c>
      <c r="AN227" s="156">
        <v>0</v>
      </c>
      <c r="AO227" s="156">
        <v>0</v>
      </c>
      <c r="AP227" s="156">
        <v>0</v>
      </c>
      <c r="AQ227" s="156">
        <v>0</v>
      </c>
      <c r="AR227" s="156">
        <v>0</v>
      </c>
      <c r="AS227" s="156">
        <v>0</v>
      </c>
      <c r="AT227" s="156">
        <f>H227+I227+N227+O227+P227+Q227+T227+X227+Y227+Z227+AA227+AB227+AM227+AO227</f>
        <v>-5.33</v>
      </c>
    </row>
    <row r="228" spans="1:46" ht="11.25" hidden="1" outlineLevel="3">
      <c r="A228" s="155" t="s">
        <v>145</v>
      </c>
      <c r="B228" s="155" t="s">
        <v>147</v>
      </c>
      <c r="C228" s="155" t="s">
        <v>133</v>
      </c>
      <c r="D228" s="156" t="s">
        <v>64</v>
      </c>
      <c r="E228" s="156" t="s">
        <v>134</v>
      </c>
      <c r="F228" s="157">
        <v>0</v>
      </c>
      <c r="G228" s="157">
        <v>-800</v>
      </c>
      <c r="H228" s="156">
        <v>-20.440000000000001</v>
      </c>
      <c r="I228" s="156">
        <v>0</v>
      </c>
      <c r="J228" s="156">
        <v>0</v>
      </c>
      <c r="K228" s="156">
        <v>0</v>
      </c>
      <c r="L228" s="156">
        <v>0</v>
      </c>
      <c r="M228" s="156">
        <v>0</v>
      </c>
      <c r="N228" s="156">
        <f>J228+K228+L228+M228</f>
        <v>0</v>
      </c>
      <c r="O228" s="156">
        <v>0</v>
      </c>
      <c r="P228" s="156">
        <v>0</v>
      </c>
      <c r="Q228" s="156">
        <v>0</v>
      </c>
      <c r="R228" s="156">
        <v>0</v>
      </c>
      <c r="S228" s="156">
        <v>0</v>
      </c>
      <c r="T228" s="156">
        <v>0</v>
      </c>
      <c r="U228" s="156">
        <v>0</v>
      </c>
      <c r="V228" s="156">
        <v>0</v>
      </c>
      <c r="W228" s="156">
        <v>0</v>
      </c>
      <c r="X228" s="156">
        <v>0</v>
      </c>
      <c r="Y228" s="156">
        <v>0</v>
      </c>
      <c r="Z228" s="156">
        <v>0</v>
      </c>
      <c r="AA228" s="156">
        <v>0</v>
      </c>
      <c r="AB228" s="156">
        <v>0</v>
      </c>
      <c r="AC228" s="156">
        <v>0</v>
      </c>
      <c r="AD228" s="156">
        <v>0</v>
      </c>
      <c r="AE228" s="156">
        <v>0</v>
      </c>
      <c r="AF228" s="156">
        <v>0</v>
      </c>
      <c r="AG228" s="156">
        <v>0</v>
      </c>
      <c r="AH228" s="156">
        <v>0</v>
      </c>
      <c r="AI228" s="156">
        <v>0</v>
      </c>
      <c r="AJ228" s="156">
        <v>0</v>
      </c>
      <c r="AK228" s="156">
        <v>0</v>
      </c>
      <c r="AL228" s="156">
        <v>0</v>
      </c>
      <c r="AM228" s="156">
        <v>0</v>
      </c>
      <c r="AN228" s="156">
        <v>0</v>
      </c>
      <c r="AO228" s="156">
        <v>0</v>
      </c>
      <c r="AP228" s="156">
        <v>0</v>
      </c>
      <c r="AQ228" s="156">
        <v>0</v>
      </c>
      <c r="AR228" s="156">
        <v>0</v>
      </c>
      <c r="AS228" s="156">
        <v>0</v>
      </c>
      <c r="AT228" s="156">
        <f>H228+I228+N228+O228+P228+Q228+T228+X228+Y228+Z228+AA228+AB228+AM228+AO228</f>
        <v>-20.440000000000001</v>
      </c>
    </row>
    <row r="229" spans="1:46" ht="11.25" outlineLevel="2" collapsed="1">
      <c r="D229" s="156"/>
      <c r="E229" s="156" t="s">
        <v>212</v>
      </c>
      <c r="F229" s="157">
        <v>0</v>
      </c>
      <c r="G229" s="157">
        <f t="shared" ref="G229:AT229" si="27">SUBTOTAL(9,G227:G228)</f>
        <v>-1007</v>
      </c>
      <c r="H229" s="156">
        <f t="shared" si="27"/>
        <v>-25.770000000000003</v>
      </c>
      <c r="I229" s="156">
        <f t="shared" si="27"/>
        <v>0</v>
      </c>
      <c r="J229" s="156">
        <f t="shared" si="27"/>
        <v>0</v>
      </c>
      <c r="K229" s="156">
        <f t="shared" si="27"/>
        <v>0</v>
      </c>
      <c r="L229" s="156">
        <f t="shared" si="27"/>
        <v>0</v>
      </c>
      <c r="M229" s="156">
        <f t="shared" si="27"/>
        <v>0</v>
      </c>
      <c r="N229" s="156">
        <f t="shared" si="27"/>
        <v>0</v>
      </c>
      <c r="O229" s="156">
        <f t="shared" si="27"/>
        <v>0</v>
      </c>
      <c r="P229" s="156">
        <f t="shared" si="27"/>
        <v>0</v>
      </c>
      <c r="Q229" s="156">
        <f t="shared" si="27"/>
        <v>0</v>
      </c>
      <c r="R229" s="156">
        <f t="shared" si="27"/>
        <v>0</v>
      </c>
      <c r="S229" s="156">
        <f t="shared" si="27"/>
        <v>0</v>
      </c>
      <c r="T229" s="156">
        <f t="shared" si="27"/>
        <v>0</v>
      </c>
      <c r="U229" s="156">
        <f t="shared" si="27"/>
        <v>0</v>
      </c>
      <c r="V229" s="156">
        <f t="shared" si="27"/>
        <v>0</v>
      </c>
      <c r="W229" s="156">
        <f t="shared" si="27"/>
        <v>0</v>
      </c>
      <c r="X229" s="156">
        <f t="shared" si="27"/>
        <v>0</v>
      </c>
      <c r="Y229" s="156">
        <f t="shared" si="27"/>
        <v>0</v>
      </c>
      <c r="Z229" s="156">
        <f t="shared" si="27"/>
        <v>0</v>
      </c>
      <c r="AA229" s="156">
        <f t="shared" si="27"/>
        <v>0</v>
      </c>
      <c r="AB229" s="156">
        <f t="shared" si="27"/>
        <v>0</v>
      </c>
      <c r="AC229" s="156">
        <f t="shared" si="27"/>
        <v>0</v>
      </c>
      <c r="AD229" s="156">
        <f t="shared" si="27"/>
        <v>0</v>
      </c>
      <c r="AE229" s="156">
        <f t="shared" si="27"/>
        <v>0</v>
      </c>
      <c r="AF229" s="156">
        <f t="shared" si="27"/>
        <v>0</v>
      </c>
      <c r="AG229" s="156">
        <f t="shared" si="27"/>
        <v>0</v>
      </c>
      <c r="AH229" s="156">
        <f t="shared" si="27"/>
        <v>0</v>
      </c>
      <c r="AI229" s="156">
        <f t="shared" si="27"/>
        <v>0</v>
      </c>
      <c r="AJ229" s="156">
        <f t="shared" si="27"/>
        <v>0</v>
      </c>
      <c r="AK229" s="156">
        <f t="shared" si="27"/>
        <v>0</v>
      </c>
      <c r="AL229" s="156">
        <f t="shared" si="27"/>
        <v>0</v>
      </c>
      <c r="AM229" s="156">
        <f t="shared" si="27"/>
        <v>0</v>
      </c>
      <c r="AN229" s="156">
        <f t="shared" si="27"/>
        <v>0</v>
      </c>
      <c r="AO229" s="156">
        <f t="shared" si="27"/>
        <v>0</v>
      </c>
      <c r="AP229" s="156">
        <f t="shared" si="27"/>
        <v>0</v>
      </c>
      <c r="AQ229" s="156">
        <f t="shared" si="27"/>
        <v>0</v>
      </c>
      <c r="AR229" s="156">
        <f t="shared" si="27"/>
        <v>0</v>
      </c>
      <c r="AS229" s="156">
        <f t="shared" si="27"/>
        <v>0</v>
      </c>
      <c r="AT229" s="156">
        <f t="shared" si="27"/>
        <v>-25.770000000000003</v>
      </c>
    </row>
    <row r="230" spans="1:46" ht="11.25" hidden="1" outlineLevel="3">
      <c r="A230" s="155" t="s">
        <v>131</v>
      </c>
      <c r="B230" s="155" t="s">
        <v>132</v>
      </c>
      <c r="C230" s="155" t="s">
        <v>135</v>
      </c>
      <c r="D230" s="156" t="s">
        <v>64</v>
      </c>
      <c r="E230" s="156" t="s">
        <v>136</v>
      </c>
      <c r="F230" s="157">
        <v>0</v>
      </c>
      <c r="G230" s="157">
        <v>28704</v>
      </c>
      <c r="H230" s="156">
        <v>3935.58</v>
      </c>
      <c r="I230" s="156">
        <v>34.31</v>
      </c>
      <c r="J230" s="156">
        <v>0</v>
      </c>
      <c r="K230" s="156">
        <v>0</v>
      </c>
      <c r="L230" s="156">
        <v>836.95</v>
      </c>
      <c r="M230" s="156">
        <v>0</v>
      </c>
      <c r="N230" s="156">
        <f t="shared" ref="N230:N244" si="28">J230+K230+L230+M230</f>
        <v>836.95</v>
      </c>
      <c r="O230" s="156">
        <v>41.06</v>
      </c>
      <c r="P230" s="156">
        <v>61.45</v>
      </c>
      <c r="Q230" s="156">
        <v>0</v>
      </c>
      <c r="R230" s="156">
        <v>0</v>
      </c>
      <c r="S230" s="156">
        <v>0</v>
      </c>
      <c r="T230" s="156">
        <v>0</v>
      </c>
      <c r="U230" s="156">
        <v>0</v>
      </c>
      <c r="V230" s="156">
        <v>0</v>
      </c>
      <c r="W230" s="156">
        <v>0</v>
      </c>
      <c r="X230" s="156">
        <v>0</v>
      </c>
      <c r="Y230" s="156">
        <v>57.45</v>
      </c>
      <c r="Z230" s="156">
        <v>0</v>
      </c>
      <c r="AA230" s="156">
        <v>0</v>
      </c>
      <c r="AB230" s="156">
        <v>0</v>
      </c>
      <c r="AC230" s="156">
        <v>0</v>
      </c>
      <c r="AD230" s="156">
        <v>0</v>
      </c>
      <c r="AE230" s="156">
        <v>0</v>
      </c>
      <c r="AF230" s="156">
        <v>0</v>
      </c>
      <c r="AG230" s="156">
        <v>0</v>
      </c>
      <c r="AH230" s="156">
        <v>0</v>
      </c>
      <c r="AI230" s="156">
        <v>0</v>
      </c>
      <c r="AJ230" s="156">
        <v>0</v>
      </c>
      <c r="AK230" s="156">
        <v>0</v>
      </c>
      <c r="AL230" s="156">
        <v>291.76</v>
      </c>
      <c r="AM230" s="156">
        <v>-791.72</v>
      </c>
      <c r="AN230" s="156">
        <v>0</v>
      </c>
      <c r="AO230" s="156">
        <v>0</v>
      </c>
      <c r="AP230" s="156">
        <v>0</v>
      </c>
      <c r="AQ230" s="156">
        <v>0</v>
      </c>
      <c r="AR230" s="156">
        <v>0</v>
      </c>
      <c r="AS230" s="156">
        <v>0</v>
      </c>
      <c r="AT230" s="156">
        <f t="shared" ref="AT230:AT244" si="29">H230+I230+N230+O230+P230+Q230+T230+X230+Y230+Z230+AA230+AB230+AM230+AO230</f>
        <v>4175.08</v>
      </c>
    </row>
    <row r="231" spans="1:46" ht="11.25" hidden="1" outlineLevel="3">
      <c r="A231" s="155" t="s">
        <v>131</v>
      </c>
      <c r="B231" s="155" t="s">
        <v>137</v>
      </c>
      <c r="C231" s="155" t="s">
        <v>135</v>
      </c>
      <c r="D231" s="156" t="s">
        <v>64</v>
      </c>
      <c r="E231" s="156" t="s">
        <v>136</v>
      </c>
      <c r="F231" s="157">
        <v>0</v>
      </c>
      <c r="G231" s="157">
        <v>389</v>
      </c>
      <c r="H231" s="156">
        <v>58.17</v>
      </c>
      <c r="I231" s="156">
        <v>0</v>
      </c>
      <c r="J231" s="156">
        <v>0</v>
      </c>
      <c r="K231" s="156">
        <v>0</v>
      </c>
      <c r="L231" s="156">
        <v>11.34</v>
      </c>
      <c r="M231" s="156">
        <v>0</v>
      </c>
      <c r="N231" s="156">
        <f t="shared" si="28"/>
        <v>11.34</v>
      </c>
      <c r="O231" s="156">
        <v>0.56000000000000005</v>
      </c>
      <c r="P231" s="156">
        <v>0.84</v>
      </c>
      <c r="Q231" s="156">
        <v>0</v>
      </c>
      <c r="R231" s="156">
        <v>0</v>
      </c>
      <c r="S231" s="156">
        <v>0</v>
      </c>
      <c r="T231" s="156">
        <v>0</v>
      </c>
      <c r="U231" s="156">
        <v>0</v>
      </c>
      <c r="V231" s="156">
        <v>0</v>
      </c>
      <c r="W231" s="156">
        <v>0</v>
      </c>
      <c r="X231" s="156">
        <v>0</v>
      </c>
      <c r="Y231" s="156">
        <v>0.78</v>
      </c>
      <c r="Z231" s="156">
        <v>0</v>
      </c>
      <c r="AA231" s="156">
        <v>0</v>
      </c>
      <c r="AB231" s="156">
        <v>0</v>
      </c>
      <c r="AC231" s="156">
        <v>0</v>
      </c>
      <c r="AD231" s="156">
        <v>0</v>
      </c>
      <c r="AE231" s="156">
        <v>0</v>
      </c>
      <c r="AF231" s="156">
        <v>0</v>
      </c>
      <c r="AG231" s="156">
        <v>0</v>
      </c>
      <c r="AH231" s="156">
        <v>0</v>
      </c>
      <c r="AI231" s="156">
        <v>0</v>
      </c>
      <c r="AJ231" s="156">
        <v>0</v>
      </c>
      <c r="AK231" s="156">
        <v>0</v>
      </c>
      <c r="AL231" s="156">
        <v>5.62</v>
      </c>
      <c r="AM231" s="156">
        <v>-12.46</v>
      </c>
      <c r="AN231" s="156">
        <v>0</v>
      </c>
      <c r="AO231" s="156">
        <v>0</v>
      </c>
      <c r="AP231" s="156">
        <v>0</v>
      </c>
      <c r="AQ231" s="156">
        <v>0</v>
      </c>
      <c r="AR231" s="156">
        <v>0</v>
      </c>
      <c r="AS231" s="156">
        <v>0</v>
      </c>
      <c r="AT231" s="156">
        <f t="shared" si="29"/>
        <v>59.230000000000011</v>
      </c>
    </row>
    <row r="232" spans="1:46" ht="11.25" hidden="1" outlineLevel="3">
      <c r="A232" s="155" t="s">
        <v>145</v>
      </c>
      <c r="B232" s="155" t="s">
        <v>146</v>
      </c>
      <c r="C232" s="155" t="s">
        <v>135</v>
      </c>
      <c r="D232" s="156" t="s">
        <v>64</v>
      </c>
      <c r="E232" s="156" t="s">
        <v>136</v>
      </c>
      <c r="F232" s="157">
        <v>0</v>
      </c>
      <c r="G232" s="157">
        <v>32547</v>
      </c>
      <c r="H232" s="156">
        <v>8262.6299999999992</v>
      </c>
      <c r="I232" s="156">
        <v>156.41</v>
      </c>
      <c r="J232" s="156">
        <v>0</v>
      </c>
      <c r="K232" s="156">
        <v>0</v>
      </c>
      <c r="L232" s="156">
        <v>0</v>
      </c>
      <c r="M232" s="156">
        <v>950.42</v>
      </c>
      <c r="N232" s="156">
        <f t="shared" si="28"/>
        <v>950.42</v>
      </c>
      <c r="O232" s="156">
        <v>0</v>
      </c>
      <c r="P232" s="156">
        <v>0</v>
      </c>
      <c r="Q232" s="156">
        <v>43.13</v>
      </c>
      <c r="R232" s="156">
        <v>0</v>
      </c>
      <c r="S232" s="156">
        <v>0</v>
      </c>
      <c r="T232" s="156">
        <v>69</v>
      </c>
      <c r="U232" s="156">
        <v>0</v>
      </c>
      <c r="V232" s="156">
        <v>0</v>
      </c>
      <c r="W232" s="156">
        <v>0</v>
      </c>
      <c r="X232" s="156">
        <v>0</v>
      </c>
      <c r="Y232" s="156">
        <v>0</v>
      </c>
      <c r="Z232" s="156">
        <v>0</v>
      </c>
      <c r="AA232" s="156">
        <v>0</v>
      </c>
      <c r="AB232" s="156">
        <v>0</v>
      </c>
      <c r="AC232" s="156">
        <v>0</v>
      </c>
      <c r="AD232" s="156">
        <v>0</v>
      </c>
      <c r="AE232" s="156">
        <v>0</v>
      </c>
      <c r="AF232" s="156">
        <v>0</v>
      </c>
      <c r="AG232" s="156">
        <v>0</v>
      </c>
      <c r="AH232" s="156">
        <v>0</v>
      </c>
      <c r="AI232" s="156">
        <v>52.17</v>
      </c>
      <c r="AJ232" s="156">
        <v>0</v>
      </c>
      <c r="AK232" s="156">
        <v>0</v>
      </c>
      <c r="AL232" s="156">
        <v>641.84</v>
      </c>
      <c r="AM232" s="156">
        <v>0</v>
      </c>
      <c r="AN232" s="156">
        <v>0</v>
      </c>
      <c r="AO232" s="156">
        <v>64.209999999999994</v>
      </c>
      <c r="AP232" s="156">
        <v>0</v>
      </c>
      <c r="AQ232" s="156">
        <v>0</v>
      </c>
      <c r="AR232" s="156">
        <v>0</v>
      </c>
      <c r="AS232" s="156">
        <v>0</v>
      </c>
      <c r="AT232" s="156">
        <f t="shared" si="29"/>
        <v>9545.7999999999975</v>
      </c>
    </row>
    <row r="233" spans="1:46" ht="11.25" hidden="1" outlineLevel="3">
      <c r="A233" s="155" t="s">
        <v>145</v>
      </c>
      <c r="B233" s="155" t="s">
        <v>147</v>
      </c>
      <c r="C233" s="155" t="s">
        <v>135</v>
      </c>
      <c r="D233" s="156" t="s">
        <v>64</v>
      </c>
      <c r="E233" s="156" t="s">
        <v>136</v>
      </c>
      <c r="F233" s="157">
        <v>0</v>
      </c>
      <c r="G233" s="157">
        <v>21197</v>
      </c>
      <c r="H233" s="156">
        <v>5259.5</v>
      </c>
      <c r="I233" s="156">
        <v>0</v>
      </c>
      <c r="J233" s="156">
        <v>0</v>
      </c>
      <c r="K233" s="156">
        <v>0</v>
      </c>
      <c r="L233" s="156">
        <v>0</v>
      </c>
      <c r="M233" s="156">
        <v>619.28</v>
      </c>
      <c r="N233" s="156">
        <f t="shared" si="28"/>
        <v>619.28</v>
      </c>
      <c r="O233" s="156">
        <v>0</v>
      </c>
      <c r="P233" s="156">
        <v>0</v>
      </c>
      <c r="Q233" s="156">
        <v>28.11</v>
      </c>
      <c r="R233" s="156">
        <v>0</v>
      </c>
      <c r="S233" s="156">
        <v>0</v>
      </c>
      <c r="T233" s="156">
        <v>0</v>
      </c>
      <c r="U233" s="156">
        <v>0</v>
      </c>
      <c r="V233" s="156">
        <v>0</v>
      </c>
      <c r="W233" s="156">
        <v>0</v>
      </c>
      <c r="X233" s="156">
        <v>0</v>
      </c>
      <c r="Y233" s="156">
        <v>0</v>
      </c>
      <c r="Z233" s="156">
        <v>0</v>
      </c>
      <c r="AA233" s="156">
        <v>0</v>
      </c>
      <c r="AB233" s="156">
        <v>0</v>
      </c>
      <c r="AC233" s="156">
        <v>0</v>
      </c>
      <c r="AD233" s="156">
        <v>0</v>
      </c>
      <c r="AE233" s="156">
        <v>0</v>
      </c>
      <c r="AF233" s="156">
        <v>0</v>
      </c>
      <c r="AG233" s="156">
        <v>0</v>
      </c>
      <c r="AH233" s="156">
        <v>0</v>
      </c>
      <c r="AI233" s="156">
        <v>11.06</v>
      </c>
      <c r="AJ233" s="156">
        <v>0</v>
      </c>
      <c r="AK233" s="156">
        <v>0</v>
      </c>
      <c r="AL233" s="156">
        <v>344.58</v>
      </c>
      <c r="AM233" s="156">
        <v>0</v>
      </c>
      <c r="AN233" s="156">
        <v>0</v>
      </c>
      <c r="AO233" s="156">
        <v>41.81</v>
      </c>
      <c r="AP233" s="156">
        <v>0</v>
      </c>
      <c r="AQ233" s="156">
        <v>0</v>
      </c>
      <c r="AR233" s="156">
        <v>0</v>
      </c>
      <c r="AS233" s="156">
        <v>0</v>
      </c>
      <c r="AT233" s="156">
        <f t="shared" si="29"/>
        <v>5948.7</v>
      </c>
    </row>
    <row r="234" spans="1:46" ht="11.25" hidden="1" outlineLevel="3">
      <c r="A234" s="155" t="s">
        <v>152</v>
      </c>
      <c r="B234" s="155" t="s">
        <v>153</v>
      </c>
      <c r="C234" s="155" t="s">
        <v>135</v>
      </c>
      <c r="D234" s="156" t="s">
        <v>64</v>
      </c>
      <c r="E234" s="156" t="s">
        <v>136</v>
      </c>
      <c r="F234" s="157">
        <v>0</v>
      </c>
      <c r="G234" s="157">
        <v>49323</v>
      </c>
      <c r="H234" s="156">
        <v>16197.23</v>
      </c>
      <c r="I234" s="156">
        <v>0</v>
      </c>
      <c r="J234" s="156">
        <v>0</v>
      </c>
      <c r="K234" s="156">
        <v>52.61</v>
      </c>
      <c r="L234" s="156">
        <v>0</v>
      </c>
      <c r="M234" s="156">
        <v>0</v>
      </c>
      <c r="N234" s="156">
        <f t="shared" si="28"/>
        <v>52.61</v>
      </c>
      <c r="O234" s="156">
        <v>0</v>
      </c>
      <c r="P234" s="156">
        <v>0</v>
      </c>
      <c r="Q234" s="156">
        <v>0</v>
      </c>
      <c r="R234" s="156">
        <v>0</v>
      </c>
      <c r="S234" s="156">
        <v>0</v>
      </c>
      <c r="T234" s="156">
        <v>0</v>
      </c>
      <c r="U234" s="156">
        <v>0</v>
      </c>
      <c r="V234" s="156">
        <v>0</v>
      </c>
      <c r="W234" s="156">
        <v>0</v>
      </c>
      <c r="X234" s="156">
        <v>0</v>
      </c>
      <c r="Y234" s="156">
        <v>0</v>
      </c>
      <c r="Z234" s="156">
        <v>0.48</v>
      </c>
      <c r="AA234" s="156">
        <v>0</v>
      </c>
      <c r="AB234" s="156">
        <v>0</v>
      </c>
      <c r="AC234" s="156">
        <v>0</v>
      </c>
      <c r="AD234" s="156">
        <v>0</v>
      </c>
      <c r="AE234" s="156">
        <v>0</v>
      </c>
      <c r="AF234" s="156">
        <v>0</v>
      </c>
      <c r="AG234" s="156">
        <v>0</v>
      </c>
      <c r="AH234" s="156">
        <v>0</v>
      </c>
      <c r="AI234" s="156">
        <v>66.94</v>
      </c>
      <c r="AJ234" s="156">
        <v>0</v>
      </c>
      <c r="AK234" s="156">
        <v>-3.04</v>
      </c>
      <c r="AL234" s="156">
        <v>788.76</v>
      </c>
      <c r="AM234" s="156">
        <v>-541.28</v>
      </c>
      <c r="AN234" s="156">
        <v>0</v>
      </c>
      <c r="AO234" s="156">
        <v>0</v>
      </c>
      <c r="AP234" s="156">
        <v>0</v>
      </c>
      <c r="AQ234" s="156">
        <v>0</v>
      </c>
      <c r="AR234" s="156">
        <v>0</v>
      </c>
      <c r="AS234" s="156">
        <v>0</v>
      </c>
      <c r="AT234" s="156">
        <f t="shared" si="29"/>
        <v>15709.039999999999</v>
      </c>
    </row>
    <row r="235" spans="1:46" ht="11.25" hidden="1" outlineLevel="3">
      <c r="A235" s="155" t="s">
        <v>152</v>
      </c>
      <c r="B235" s="155" t="s">
        <v>154</v>
      </c>
      <c r="C235" s="155" t="s">
        <v>135</v>
      </c>
      <c r="D235" s="156" t="s">
        <v>64</v>
      </c>
      <c r="E235" s="156" t="s">
        <v>136</v>
      </c>
      <c r="F235" s="157">
        <v>0</v>
      </c>
      <c r="G235" s="157">
        <v>56885</v>
      </c>
      <c r="H235" s="156">
        <v>17594.189999999999</v>
      </c>
      <c r="I235" s="156">
        <v>137.6</v>
      </c>
      <c r="J235" s="156">
        <v>0</v>
      </c>
      <c r="K235" s="156">
        <v>79.56</v>
      </c>
      <c r="L235" s="156">
        <v>0</v>
      </c>
      <c r="M235" s="156">
        <v>0</v>
      </c>
      <c r="N235" s="156">
        <f t="shared" si="28"/>
        <v>79.56</v>
      </c>
      <c r="O235" s="156">
        <v>0</v>
      </c>
      <c r="P235" s="156">
        <v>0</v>
      </c>
      <c r="Q235" s="156">
        <v>0</v>
      </c>
      <c r="R235" s="156">
        <v>0</v>
      </c>
      <c r="S235" s="156">
        <v>0</v>
      </c>
      <c r="T235" s="156">
        <v>0</v>
      </c>
      <c r="U235" s="156">
        <v>0</v>
      </c>
      <c r="V235" s="156">
        <v>0</v>
      </c>
      <c r="W235" s="156">
        <v>0</v>
      </c>
      <c r="X235" s="156">
        <v>0</v>
      </c>
      <c r="Y235" s="156">
        <v>0</v>
      </c>
      <c r="Z235" s="156">
        <v>0</v>
      </c>
      <c r="AA235" s="156">
        <v>0</v>
      </c>
      <c r="AB235" s="156">
        <v>0</v>
      </c>
      <c r="AC235" s="156">
        <v>0</v>
      </c>
      <c r="AD235" s="156">
        <v>0</v>
      </c>
      <c r="AE235" s="156">
        <v>0</v>
      </c>
      <c r="AF235" s="156">
        <v>0</v>
      </c>
      <c r="AG235" s="156">
        <v>0</v>
      </c>
      <c r="AH235" s="156">
        <v>0</v>
      </c>
      <c r="AI235" s="156">
        <v>103.72</v>
      </c>
      <c r="AJ235" s="156">
        <v>0</v>
      </c>
      <c r="AK235" s="156">
        <v>0</v>
      </c>
      <c r="AL235" s="156">
        <v>721.36</v>
      </c>
      <c r="AM235" s="156">
        <v>-624.24</v>
      </c>
      <c r="AN235" s="156">
        <v>0</v>
      </c>
      <c r="AO235" s="156">
        <v>0</v>
      </c>
      <c r="AP235" s="156">
        <v>0</v>
      </c>
      <c r="AQ235" s="156">
        <v>0</v>
      </c>
      <c r="AR235" s="156">
        <v>0</v>
      </c>
      <c r="AS235" s="156">
        <v>0</v>
      </c>
      <c r="AT235" s="156">
        <f t="shared" si="29"/>
        <v>17187.109999999997</v>
      </c>
    </row>
    <row r="236" spans="1:46" ht="11.25" hidden="1" outlineLevel="3">
      <c r="A236" s="155" t="s">
        <v>152</v>
      </c>
      <c r="B236" s="155" t="s">
        <v>155</v>
      </c>
      <c r="C236" s="155" t="s">
        <v>135</v>
      </c>
      <c r="D236" s="156" t="s">
        <v>64</v>
      </c>
      <c r="E236" s="156" t="s">
        <v>136</v>
      </c>
      <c r="F236" s="157">
        <v>0</v>
      </c>
      <c r="G236" s="157">
        <v>86638</v>
      </c>
      <c r="H236" s="156">
        <v>30506.3</v>
      </c>
      <c r="I236" s="156">
        <v>0</v>
      </c>
      <c r="J236" s="156">
        <v>0</v>
      </c>
      <c r="K236" s="156">
        <v>125.12</v>
      </c>
      <c r="L236" s="156">
        <v>0</v>
      </c>
      <c r="M236" s="156">
        <v>0</v>
      </c>
      <c r="N236" s="156">
        <f t="shared" si="28"/>
        <v>125.12</v>
      </c>
      <c r="O236" s="156">
        <v>0</v>
      </c>
      <c r="P236" s="156">
        <v>0</v>
      </c>
      <c r="Q236" s="156">
        <v>0</v>
      </c>
      <c r="R236" s="156">
        <v>0</v>
      </c>
      <c r="S236" s="156">
        <v>0</v>
      </c>
      <c r="T236" s="156">
        <v>346.08</v>
      </c>
      <c r="U236" s="156">
        <v>0</v>
      </c>
      <c r="V236" s="156">
        <v>0</v>
      </c>
      <c r="W236" s="156">
        <v>0</v>
      </c>
      <c r="X236" s="156">
        <v>0</v>
      </c>
      <c r="Y236" s="156">
        <v>0</v>
      </c>
      <c r="Z236" s="156">
        <v>0.04</v>
      </c>
      <c r="AA236" s="156">
        <v>0</v>
      </c>
      <c r="AB236" s="156">
        <v>0</v>
      </c>
      <c r="AC236" s="156">
        <v>0</v>
      </c>
      <c r="AD236" s="156">
        <v>0</v>
      </c>
      <c r="AE236" s="156">
        <v>0</v>
      </c>
      <c r="AF236" s="156">
        <v>0</v>
      </c>
      <c r="AG236" s="156">
        <v>0</v>
      </c>
      <c r="AH236" s="156">
        <v>0</v>
      </c>
      <c r="AI236" s="156">
        <v>245.53</v>
      </c>
      <c r="AJ236" s="156">
        <v>0</v>
      </c>
      <c r="AK236" s="156">
        <v>0</v>
      </c>
      <c r="AL236" s="156">
        <v>1570.81</v>
      </c>
      <c r="AM236" s="156">
        <v>-951.11</v>
      </c>
      <c r="AN236" s="156">
        <v>0</v>
      </c>
      <c r="AO236" s="156">
        <v>0</v>
      </c>
      <c r="AP236" s="156">
        <v>0</v>
      </c>
      <c r="AQ236" s="156">
        <v>0</v>
      </c>
      <c r="AR236" s="156">
        <v>0</v>
      </c>
      <c r="AS236" s="156">
        <v>0</v>
      </c>
      <c r="AT236" s="156">
        <f t="shared" si="29"/>
        <v>30026.43</v>
      </c>
    </row>
    <row r="237" spans="1:46" ht="11.25" hidden="1" outlineLevel="3">
      <c r="A237" s="155" t="s">
        <v>152</v>
      </c>
      <c r="B237" s="155" t="s">
        <v>132</v>
      </c>
      <c r="C237" s="155" t="s">
        <v>135</v>
      </c>
      <c r="D237" s="156" t="s">
        <v>64</v>
      </c>
      <c r="E237" s="156" t="s">
        <v>136</v>
      </c>
      <c r="F237" s="157">
        <v>0</v>
      </c>
      <c r="G237" s="157">
        <v>341</v>
      </c>
      <c r="H237" s="156">
        <v>143.28</v>
      </c>
      <c r="I237" s="156">
        <v>0</v>
      </c>
      <c r="J237" s="156">
        <v>0</v>
      </c>
      <c r="K237" s="156">
        <v>0.02</v>
      </c>
      <c r="L237" s="156">
        <v>0</v>
      </c>
      <c r="M237" s="156">
        <v>0</v>
      </c>
      <c r="N237" s="156">
        <f t="shared" si="28"/>
        <v>0.02</v>
      </c>
      <c r="O237" s="156">
        <v>0</v>
      </c>
      <c r="P237" s="156">
        <v>0</v>
      </c>
      <c r="Q237" s="156">
        <v>0</v>
      </c>
      <c r="R237" s="156">
        <v>0</v>
      </c>
      <c r="S237" s="156">
        <v>0</v>
      </c>
      <c r="T237" s="156">
        <v>0</v>
      </c>
      <c r="U237" s="156">
        <v>0</v>
      </c>
      <c r="V237" s="156">
        <v>0</v>
      </c>
      <c r="W237" s="156">
        <v>0</v>
      </c>
      <c r="X237" s="156">
        <v>0</v>
      </c>
      <c r="Y237" s="156">
        <v>0</v>
      </c>
      <c r="Z237" s="156">
        <v>0</v>
      </c>
      <c r="AA237" s="156">
        <v>0</v>
      </c>
      <c r="AB237" s="156">
        <v>0</v>
      </c>
      <c r="AC237" s="156">
        <v>0</v>
      </c>
      <c r="AD237" s="156">
        <v>0</v>
      </c>
      <c r="AE237" s="156">
        <v>0</v>
      </c>
      <c r="AF237" s="156">
        <v>0</v>
      </c>
      <c r="AG237" s="156">
        <v>0</v>
      </c>
      <c r="AH237" s="156">
        <v>0</v>
      </c>
      <c r="AI237" s="156">
        <v>3.6</v>
      </c>
      <c r="AJ237" s="156">
        <v>0</v>
      </c>
      <c r="AK237" s="156">
        <v>0</v>
      </c>
      <c r="AL237" s="156">
        <v>1.28</v>
      </c>
      <c r="AM237" s="156">
        <v>-3.75</v>
      </c>
      <c r="AN237" s="156">
        <v>0</v>
      </c>
      <c r="AO237" s="156">
        <v>0</v>
      </c>
      <c r="AP237" s="156">
        <v>0</v>
      </c>
      <c r="AQ237" s="156">
        <v>0</v>
      </c>
      <c r="AR237" s="156">
        <v>0</v>
      </c>
      <c r="AS237" s="156">
        <v>0</v>
      </c>
      <c r="AT237" s="156">
        <f t="shared" si="29"/>
        <v>139.55000000000001</v>
      </c>
    </row>
    <row r="238" spans="1:46" ht="11.25" hidden="1" outlineLevel="3">
      <c r="A238" s="155" t="s">
        <v>152</v>
      </c>
      <c r="B238" s="155" t="s">
        <v>157</v>
      </c>
      <c r="C238" s="155" t="s">
        <v>135</v>
      </c>
      <c r="D238" s="156" t="s">
        <v>64</v>
      </c>
      <c r="E238" s="156" t="s">
        <v>136</v>
      </c>
      <c r="F238" s="157">
        <v>0</v>
      </c>
      <c r="G238" s="157">
        <v>205950</v>
      </c>
      <c r="H238" s="156">
        <v>56297.99</v>
      </c>
      <c r="I238" s="156">
        <v>2250.96</v>
      </c>
      <c r="J238" s="156">
        <v>0</v>
      </c>
      <c r="K238" s="156">
        <v>255.55</v>
      </c>
      <c r="L238" s="156">
        <v>0</v>
      </c>
      <c r="M238" s="156">
        <v>0</v>
      </c>
      <c r="N238" s="156">
        <f t="shared" si="28"/>
        <v>255.55</v>
      </c>
      <c r="O238" s="156">
        <v>0</v>
      </c>
      <c r="P238" s="156">
        <v>0</v>
      </c>
      <c r="Q238" s="156">
        <v>0</v>
      </c>
      <c r="R238" s="156">
        <v>0</v>
      </c>
      <c r="S238" s="156">
        <v>0</v>
      </c>
      <c r="T238" s="156">
        <v>96.04</v>
      </c>
      <c r="U238" s="156">
        <v>0</v>
      </c>
      <c r="V238" s="156">
        <v>0</v>
      </c>
      <c r="W238" s="156">
        <v>0</v>
      </c>
      <c r="X238" s="156">
        <v>0</v>
      </c>
      <c r="Y238" s="156">
        <v>0</v>
      </c>
      <c r="Z238" s="156">
        <v>0</v>
      </c>
      <c r="AA238" s="156">
        <v>0</v>
      </c>
      <c r="AB238" s="156">
        <v>0</v>
      </c>
      <c r="AC238" s="156">
        <v>0</v>
      </c>
      <c r="AD238" s="156">
        <v>0</v>
      </c>
      <c r="AE238" s="156">
        <v>0</v>
      </c>
      <c r="AF238" s="156">
        <v>0</v>
      </c>
      <c r="AG238" s="156">
        <v>0</v>
      </c>
      <c r="AH238" s="156">
        <v>0</v>
      </c>
      <c r="AI238" s="156">
        <v>765.17</v>
      </c>
      <c r="AJ238" s="156">
        <v>0</v>
      </c>
      <c r="AK238" s="156">
        <v>-13.61</v>
      </c>
      <c r="AL238" s="156">
        <v>3326.97</v>
      </c>
      <c r="AM238" s="156">
        <v>-2260.38</v>
      </c>
      <c r="AN238" s="156">
        <v>0</v>
      </c>
      <c r="AO238" s="156">
        <v>0</v>
      </c>
      <c r="AP238" s="156">
        <v>0</v>
      </c>
      <c r="AQ238" s="156">
        <v>0</v>
      </c>
      <c r="AR238" s="156">
        <v>0</v>
      </c>
      <c r="AS238" s="156">
        <v>0</v>
      </c>
      <c r="AT238" s="156">
        <f t="shared" si="29"/>
        <v>56640.160000000003</v>
      </c>
    </row>
    <row r="239" spans="1:46" ht="11.25" hidden="1" outlineLevel="3">
      <c r="A239" s="155" t="s">
        <v>152</v>
      </c>
      <c r="B239" s="155" t="s">
        <v>137</v>
      </c>
      <c r="C239" s="155" t="s">
        <v>135</v>
      </c>
      <c r="D239" s="156" t="s">
        <v>64</v>
      </c>
      <c r="E239" s="156" t="s">
        <v>136</v>
      </c>
      <c r="F239" s="157">
        <v>0</v>
      </c>
      <c r="G239" s="157">
        <v>135209</v>
      </c>
      <c r="H239" s="156">
        <v>41121.78</v>
      </c>
      <c r="I239" s="156">
        <v>64.03</v>
      </c>
      <c r="J239" s="156">
        <v>0</v>
      </c>
      <c r="K239" s="156">
        <v>72.78</v>
      </c>
      <c r="L239" s="156">
        <v>0</v>
      </c>
      <c r="M239" s="156">
        <v>0</v>
      </c>
      <c r="N239" s="156">
        <f t="shared" si="28"/>
        <v>72.78</v>
      </c>
      <c r="O239" s="156">
        <v>0</v>
      </c>
      <c r="P239" s="156">
        <v>0</v>
      </c>
      <c r="Q239" s="156">
        <v>0</v>
      </c>
      <c r="R239" s="156">
        <v>0</v>
      </c>
      <c r="S239" s="156">
        <v>0</v>
      </c>
      <c r="T239" s="156">
        <v>94.24</v>
      </c>
      <c r="U239" s="156">
        <v>0</v>
      </c>
      <c r="V239" s="156">
        <v>0</v>
      </c>
      <c r="W239" s="156">
        <v>0</v>
      </c>
      <c r="X239" s="156">
        <v>0</v>
      </c>
      <c r="Y239" s="156">
        <v>0</v>
      </c>
      <c r="Z239" s="156">
        <v>0</v>
      </c>
      <c r="AA239" s="156">
        <v>0</v>
      </c>
      <c r="AB239" s="156">
        <v>0</v>
      </c>
      <c r="AC239" s="156">
        <v>0</v>
      </c>
      <c r="AD239" s="156">
        <v>0</v>
      </c>
      <c r="AE239" s="156">
        <v>0</v>
      </c>
      <c r="AF239" s="156">
        <v>0</v>
      </c>
      <c r="AG239" s="156">
        <v>0</v>
      </c>
      <c r="AH239" s="156">
        <v>0</v>
      </c>
      <c r="AI239" s="156">
        <v>353.73</v>
      </c>
      <c r="AJ239" s="156">
        <v>0</v>
      </c>
      <c r="AK239" s="156">
        <v>-1.53</v>
      </c>
      <c r="AL239" s="156">
        <v>1797.8</v>
      </c>
      <c r="AM239" s="156">
        <v>-1482.77</v>
      </c>
      <c r="AN239" s="156">
        <v>0</v>
      </c>
      <c r="AO239" s="156">
        <v>0</v>
      </c>
      <c r="AP239" s="156">
        <v>0</v>
      </c>
      <c r="AQ239" s="156">
        <v>0</v>
      </c>
      <c r="AR239" s="156">
        <v>0</v>
      </c>
      <c r="AS239" s="156">
        <v>0</v>
      </c>
      <c r="AT239" s="156">
        <f t="shared" si="29"/>
        <v>39870.06</v>
      </c>
    </row>
    <row r="240" spans="1:46" ht="11.25" hidden="1" outlineLevel="3">
      <c r="A240" s="155" t="s">
        <v>152</v>
      </c>
      <c r="B240" s="155" t="s">
        <v>158</v>
      </c>
      <c r="C240" s="155" t="s">
        <v>135</v>
      </c>
      <c r="D240" s="156" t="s">
        <v>64</v>
      </c>
      <c r="E240" s="156" t="s">
        <v>136</v>
      </c>
      <c r="F240" s="157">
        <v>0</v>
      </c>
      <c r="G240" s="157">
        <v>51042</v>
      </c>
      <c r="H240" s="156">
        <v>17110.099999999999</v>
      </c>
      <c r="I240" s="156">
        <v>132.34</v>
      </c>
      <c r="J240" s="156">
        <v>0</v>
      </c>
      <c r="K240" s="156">
        <v>40.33</v>
      </c>
      <c r="L240" s="156">
        <v>0</v>
      </c>
      <c r="M240" s="156">
        <v>0</v>
      </c>
      <c r="N240" s="156">
        <f t="shared" si="28"/>
        <v>40.33</v>
      </c>
      <c r="O240" s="156">
        <v>0</v>
      </c>
      <c r="P240" s="156">
        <v>0</v>
      </c>
      <c r="Q240" s="156">
        <v>0</v>
      </c>
      <c r="R240" s="156">
        <v>0</v>
      </c>
      <c r="S240" s="156">
        <v>0</v>
      </c>
      <c r="T240" s="156">
        <v>0</v>
      </c>
      <c r="U240" s="156">
        <v>0</v>
      </c>
      <c r="V240" s="156">
        <v>0</v>
      </c>
      <c r="W240" s="156">
        <v>0</v>
      </c>
      <c r="X240" s="156">
        <v>0</v>
      </c>
      <c r="Y240" s="156">
        <v>0</v>
      </c>
      <c r="Z240" s="156">
        <v>0</v>
      </c>
      <c r="AA240" s="156">
        <v>0</v>
      </c>
      <c r="AB240" s="156">
        <v>0</v>
      </c>
      <c r="AC240" s="156">
        <v>0</v>
      </c>
      <c r="AD240" s="156">
        <v>0</v>
      </c>
      <c r="AE240" s="156">
        <v>0</v>
      </c>
      <c r="AF240" s="156">
        <v>0</v>
      </c>
      <c r="AG240" s="156">
        <v>0</v>
      </c>
      <c r="AH240" s="156">
        <v>0</v>
      </c>
      <c r="AI240" s="156">
        <v>190.6</v>
      </c>
      <c r="AJ240" s="156">
        <v>0</v>
      </c>
      <c r="AK240" s="156">
        <v>0</v>
      </c>
      <c r="AL240" s="156">
        <v>787.56</v>
      </c>
      <c r="AM240" s="156">
        <v>-560.33000000000004</v>
      </c>
      <c r="AN240" s="156">
        <v>0</v>
      </c>
      <c r="AO240" s="156">
        <v>0</v>
      </c>
      <c r="AP240" s="156">
        <v>0</v>
      </c>
      <c r="AQ240" s="156">
        <v>0</v>
      </c>
      <c r="AR240" s="156">
        <v>0</v>
      </c>
      <c r="AS240" s="156">
        <v>0</v>
      </c>
      <c r="AT240" s="156">
        <f t="shared" si="29"/>
        <v>16722.439999999999</v>
      </c>
    </row>
    <row r="241" spans="1:46" ht="11.25" hidden="1" outlineLevel="3">
      <c r="A241" s="155" t="s">
        <v>152</v>
      </c>
      <c r="B241" s="155" t="s">
        <v>159</v>
      </c>
      <c r="C241" s="155" t="s">
        <v>135</v>
      </c>
      <c r="D241" s="156" t="s">
        <v>64</v>
      </c>
      <c r="E241" s="156" t="s">
        <v>136</v>
      </c>
      <c r="F241" s="157">
        <v>0</v>
      </c>
      <c r="G241" s="157">
        <v>11931</v>
      </c>
      <c r="H241" s="156">
        <v>4178.42</v>
      </c>
      <c r="I241" s="156">
        <v>0</v>
      </c>
      <c r="J241" s="156">
        <v>0</v>
      </c>
      <c r="K241" s="156">
        <v>22.22</v>
      </c>
      <c r="L241" s="156">
        <v>0</v>
      </c>
      <c r="M241" s="156">
        <v>0</v>
      </c>
      <c r="N241" s="156">
        <f t="shared" si="28"/>
        <v>22.22</v>
      </c>
      <c r="O241" s="156">
        <v>0</v>
      </c>
      <c r="P241" s="156">
        <v>0</v>
      </c>
      <c r="Q241" s="156">
        <v>0</v>
      </c>
      <c r="R241" s="156">
        <v>0</v>
      </c>
      <c r="S241" s="156">
        <v>0</v>
      </c>
      <c r="T241" s="156">
        <v>0</v>
      </c>
      <c r="U241" s="156">
        <v>0</v>
      </c>
      <c r="V241" s="156">
        <v>0</v>
      </c>
      <c r="W241" s="156">
        <v>0</v>
      </c>
      <c r="X241" s="156">
        <v>0</v>
      </c>
      <c r="Y241" s="156">
        <v>0</v>
      </c>
      <c r="Z241" s="156">
        <v>0</v>
      </c>
      <c r="AA241" s="156">
        <v>0</v>
      </c>
      <c r="AB241" s="156">
        <v>0</v>
      </c>
      <c r="AC241" s="156">
        <v>0</v>
      </c>
      <c r="AD241" s="156">
        <v>0</v>
      </c>
      <c r="AE241" s="156">
        <v>0</v>
      </c>
      <c r="AF241" s="156">
        <v>0</v>
      </c>
      <c r="AG241" s="156">
        <v>0</v>
      </c>
      <c r="AH241" s="156">
        <v>0</v>
      </c>
      <c r="AI241" s="156">
        <v>24.03</v>
      </c>
      <c r="AJ241" s="156">
        <v>0</v>
      </c>
      <c r="AK241" s="156">
        <v>0</v>
      </c>
      <c r="AL241" s="156">
        <v>179.76</v>
      </c>
      <c r="AM241" s="156">
        <v>-130.94</v>
      </c>
      <c r="AN241" s="156">
        <v>0</v>
      </c>
      <c r="AO241" s="156">
        <v>0</v>
      </c>
      <c r="AP241" s="156">
        <v>0</v>
      </c>
      <c r="AQ241" s="156">
        <v>0</v>
      </c>
      <c r="AR241" s="156">
        <v>0</v>
      </c>
      <c r="AS241" s="156">
        <v>0</v>
      </c>
      <c r="AT241" s="156">
        <f t="shared" si="29"/>
        <v>4069.7000000000003</v>
      </c>
    </row>
    <row r="242" spans="1:46" ht="11.25" hidden="1" outlineLevel="3">
      <c r="A242" s="155" t="s">
        <v>152</v>
      </c>
      <c r="B242" s="155" t="s">
        <v>160</v>
      </c>
      <c r="C242" s="155" t="s">
        <v>135</v>
      </c>
      <c r="D242" s="156" t="s">
        <v>64</v>
      </c>
      <c r="E242" s="156" t="s">
        <v>136</v>
      </c>
      <c r="F242" s="157">
        <v>0</v>
      </c>
      <c r="G242" s="157">
        <v>69028</v>
      </c>
      <c r="H242" s="156">
        <v>20749.86</v>
      </c>
      <c r="I242" s="156">
        <v>35.270000000000003</v>
      </c>
      <c r="J242" s="156">
        <v>0</v>
      </c>
      <c r="K242" s="156">
        <v>91.66</v>
      </c>
      <c r="L242" s="156">
        <v>0</v>
      </c>
      <c r="M242" s="156">
        <v>0</v>
      </c>
      <c r="N242" s="156">
        <f t="shared" si="28"/>
        <v>91.66</v>
      </c>
      <c r="O242" s="156">
        <v>0</v>
      </c>
      <c r="P242" s="156">
        <v>0</v>
      </c>
      <c r="Q242" s="156">
        <v>0</v>
      </c>
      <c r="R242" s="156">
        <v>0</v>
      </c>
      <c r="S242" s="156">
        <v>0</v>
      </c>
      <c r="T242" s="156">
        <v>0</v>
      </c>
      <c r="U242" s="156">
        <v>0</v>
      </c>
      <c r="V242" s="156">
        <v>0</v>
      </c>
      <c r="W242" s="156">
        <v>0</v>
      </c>
      <c r="X242" s="156">
        <v>0</v>
      </c>
      <c r="Y242" s="156">
        <v>0</v>
      </c>
      <c r="Z242" s="156">
        <v>0.04</v>
      </c>
      <c r="AA242" s="156">
        <v>0</v>
      </c>
      <c r="AB242" s="156">
        <v>0</v>
      </c>
      <c r="AC242" s="156">
        <v>0</v>
      </c>
      <c r="AD242" s="156">
        <v>0</v>
      </c>
      <c r="AE242" s="156">
        <v>0</v>
      </c>
      <c r="AF242" s="156">
        <v>0</v>
      </c>
      <c r="AG242" s="156">
        <v>0</v>
      </c>
      <c r="AH242" s="156">
        <v>0</v>
      </c>
      <c r="AI242" s="156">
        <v>194.46</v>
      </c>
      <c r="AJ242" s="156">
        <v>0</v>
      </c>
      <c r="AK242" s="156">
        <v>-2.11</v>
      </c>
      <c r="AL242" s="156">
        <v>956.02</v>
      </c>
      <c r="AM242" s="156">
        <v>-757.85</v>
      </c>
      <c r="AN242" s="156">
        <v>0</v>
      </c>
      <c r="AO242" s="156">
        <v>0</v>
      </c>
      <c r="AP242" s="156">
        <v>0</v>
      </c>
      <c r="AQ242" s="156">
        <v>0</v>
      </c>
      <c r="AR242" s="156">
        <v>0</v>
      </c>
      <c r="AS242" s="156">
        <v>0</v>
      </c>
      <c r="AT242" s="156">
        <f t="shared" si="29"/>
        <v>20118.980000000003</v>
      </c>
    </row>
    <row r="243" spans="1:46" ht="11.25" hidden="1" outlineLevel="3">
      <c r="A243" s="155" t="s">
        <v>167</v>
      </c>
      <c r="B243" s="155" t="s">
        <v>146</v>
      </c>
      <c r="C243" s="155" t="s">
        <v>135</v>
      </c>
      <c r="D243" s="156" t="s">
        <v>64</v>
      </c>
      <c r="E243" s="156" t="s">
        <v>136</v>
      </c>
      <c r="F243" s="157">
        <v>0</v>
      </c>
      <c r="G243" s="157">
        <v>42830</v>
      </c>
      <c r="H243" s="156">
        <v>8920.36</v>
      </c>
      <c r="I243" s="156">
        <v>0</v>
      </c>
      <c r="J243" s="156">
        <v>1177.18</v>
      </c>
      <c r="K243" s="156">
        <v>0</v>
      </c>
      <c r="L243" s="156">
        <v>0</v>
      </c>
      <c r="M243" s="156">
        <v>0</v>
      </c>
      <c r="N243" s="156">
        <f t="shared" si="28"/>
        <v>1177.18</v>
      </c>
      <c r="O243" s="156">
        <v>0</v>
      </c>
      <c r="P243" s="156">
        <v>0</v>
      </c>
      <c r="Q243" s="156">
        <v>0</v>
      </c>
      <c r="R243" s="156">
        <v>0</v>
      </c>
      <c r="S243" s="156">
        <v>0</v>
      </c>
      <c r="T243" s="156">
        <v>0</v>
      </c>
      <c r="U243" s="156">
        <v>0</v>
      </c>
      <c r="V243" s="156">
        <v>0</v>
      </c>
      <c r="W243" s="156">
        <v>0</v>
      </c>
      <c r="X243" s="156">
        <v>4.0599999999999996</v>
      </c>
      <c r="Y243" s="156">
        <v>0</v>
      </c>
      <c r="Z243" s="156">
        <v>0</v>
      </c>
      <c r="AA243" s="156">
        <v>0</v>
      </c>
      <c r="AB243" s="156">
        <v>0</v>
      </c>
      <c r="AC243" s="156">
        <v>0</v>
      </c>
      <c r="AD243" s="156">
        <v>0</v>
      </c>
      <c r="AE243" s="156">
        <v>0</v>
      </c>
      <c r="AF243" s="156">
        <v>0</v>
      </c>
      <c r="AG243" s="156">
        <v>0</v>
      </c>
      <c r="AH243" s="156">
        <v>0</v>
      </c>
      <c r="AI243" s="156">
        <v>23.26</v>
      </c>
      <c r="AJ243" s="156">
        <v>0</v>
      </c>
      <c r="AK243" s="156">
        <v>0</v>
      </c>
      <c r="AL243" s="156">
        <v>348.81</v>
      </c>
      <c r="AM243" s="156">
        <v>0</v>
      </c>
      <c r="AN243" s="156">
        <v>0</v>
      </c>
      <c r="AO243" s="156">
        <v>0</v>
      </c>
      <c r="AP243" s="156">
        <v>0</v>
      </c>
      <c r="AQ243" s="156">
        <v>0</v>
      </c>
      <c r="AR243" s="156">
        <v>0</v>
      </c>
      <c r="AS243" s="156">
        <v>0</v>
      </c>
      <c r="AT243" s="156">
        <f t="shared" si="29"/>
        <v>10101.6</v>
      </c>
    </row>
    <row r="244" spans="1:46" ht="11.25" hidden="1" outlineLevel="3">
      <c r="A244" s="155" t="s">
        <v>167</v>
      </c>
      <c r="B244" s="155" t="s">
        <v>137</v>
      </c>
      <c r="C244" s="155" t="s">
        <v>135</v>
      </c>
      <c r="D244" s="156" t="s">
        <v>64</v>
      </c>
      <c r="E244" s="156" t="s">
        <v>136</v>
      </c>
      <c r="F244" s="157">
        <v>0</v>
      </c>
      <c r="G244" s="157">
        <v>1436</v>
      </c>
      <c r="H244" s="156">
        <v>188.32</v>
      </c>
      <c r="I244" s="156">
        <v>0</v>
      </c>
      <c r="J244" s="156">
        <v>39.44</v>
      </c>
      <c r="K244" s="156">
        <v>0</v>
      </c>
      <c r="L244" s="156">
        <v>0</v>
      </c>
      <c r="M244" s="156">
        <v>0</v>
      </c>
      <c r="N244" s="156">
        <f t="shared" si="28"/>
        <v>39.44</v>
      </c>
      <c r="O244" s="156">
        <v>0</v>
      </c>
      <c r="P244" s="156">
        <v>0</v>
      </c>
      <c r="Q244" s="156">
        <v>0</v>
      </c>
      <c r="R244" s="156">
        <v>0</v>
      </c>
      <c r="S244" s="156">
        <v>0</v>
      </c>
      <c r="T244" s="156">
        <v>0</v>
      </c>
      <c r="U244" s="156">
        <v>0</v>
      </c>
      <c r="V244" s="156">
        <v>0</v>
      </c>
      <c r="W244" s="156">
        <v>0</v>
      </c>
      <c r="X244" s="156">
        <v>0.13</v>
      </c>
      <c r="Y244" s="156">
        <v>0</v>
      </c>
      <c r="Z244" s="156">
        <v>0</v>
      </c>
      <c r="AA244" s="156">
        <v>0</v>
      </c>
      <c r="AB244" s="156">
        <v>0</v>
      </c>
      <c r="AC244" s="156">
        <v>0</v>
      </c>
      <c r="AD244" s="156">
        <v>0</v>
      </c>
      <c r="AE244" s="156">
        <v>0</v>
      </c>
      <c r="AF244" s="156">
        <v>0</v>
      </c>
      <c r="AG244" s="156">
        <v>0</v>
      </c>
      <c r="AH244" s="156">
        <v>0</v>
      </c>
      <c r="AI244" s="156">
        <v>0</v>
      </c>
      <c r="AJ244" s="156">
        <v>0</v>
      </c>
      <c r="AK244" s="156">
        <v>0</v>
      </c>
      <c r="AL244" s="156">
        <v>0</v>
      </c>
      <c r="AM244" s="156">
        <v>0</v>
      </c>
      <c r="AN244" s="156">
        <v>0</v>
      </c>
      <c r="AO244" s="156">
        <v>0</v>
      </c>
      <c r="AP244" s="156">
        <v>0</v>
      </c>
      <c r="AQ244" s="156">
        <v>0</v>
      </c>
      <c r="AR244" s="156">
        <v>0</v>
      </c>
      <c r="AS244" s="156">
        <v>0</v>
      </c>
      <c r="AT244" s="156">
        <f t="shared" si="29"/>
        <v>227.89</v>
      </c>
    </row>
    <row r="245" spans="1:46" ht="11.25" outlineLevel="2" collapsed="1">
      <c r="D245" s="156"/>
      <c r="E245" s="156" t="s">
        <v>213</v>
      </c>
      <c r="F245" s="157">
        <v>138</v>
      </c>
      <c r="G245" s="157">
        <f t="shared" ref="G245:AT245" si="30">SUBTOTAL(9,G230:G244)</f>
        <v>793450</v>
      </c>
      <c r="H245" s="156">
        <f t="shared" si="30"/>
        <v>230523.71000000002</v>
      </c>
      <c r="I245" s="156">
        <f t="shared" si="30"/>
        <v>2810.9200000000005</v>
      </c>
      <c r="J245" s="156">
        <f t="shared" si="30"/>
        <v>1216.6200000000001</v>
      </c>
      <c r="K245" s="156">
        <f t="shared" si="30"/>
        <v>739.85</v>
      </c>
      <c r="L245" s="156">
        <f t="shared" si="30"/>
        <v>848.29000000000008</v>
      </c>
      <c r="M245" s="156">
        <f t="shared" si="30"/>
        <v>1569.6999999999998</v>
      </c>
      <c r="N245" s="156">
        <f t="shared" si="30"/>
        <v>4374.4599999999991</v>
      </c>
      <c r="O245" s="156">
        <f t="shared" si="30"/>
        <v>41.620000000000005</v>
      </c>
      <c r="P245" s="156">
        <f t="shared" si="30"/>
        <v>62.290000000000006</v>
      </c>
      <c r="Q245" s="156">
        <f t="shared" si="30"/>
        <v>71.240000000000009</v>
      </c>
      <c r="R245" s="156">
        <f t="shared" si="30"/>
        <v>0</v>
      </c>
      <c r="S245" s="156">
        <f t="shared" si="30"/>
        <v>0</v>
      </c>
      <c r="T245" s="156">
        <f t="shared" si="30"/>
        <v>605.36</v>
      </c>
      <c r="U245" s="156">
        <f t="shared" si="30"/>
        <v>0</v>
      </c>
      <c r="V245" s="156">
        <f t="shared" si="30"/>
        <v>0</v>
      </c>
      <c r="W245" s="156">
        <f t="shared" si="30"/>
        <v>0</v>
      </c>
      <c r="X245" s="156">
        <f t="shared" si="30"/>
        <v>4.1899999999999995</v>
      </c>
      <c r="Y245" s="156">
        <f t="shared" si="30"/>
        <v>58.230000000000004</v>
      </c>
      <c r="Z245" s="156">
        <f t="shared" si="30"/>
        <v>0.56000000000000005</v>
      </c>
      <c r="AA245" s="156">
        <f t="shared" si="30"/>
        <v>0</v>
      </c>
      <c r="AB245" s="156">
        <f t="shared" si="30"/>
        <v>0</v>
      </c>
      <c r="AC245" s="156">
        <f t="shared" si="30"/>
        <v>0</v>
      </c>
      <c r="AD245" s="156">
        <f t="shared" si="30"/>
        <v>0</v>
      </c>
      <c r="AE245" s="156">
        <f t="shared" si="30"/>
        <v>0</v>
      </c>
      <c r="AF245" s="156">
        <f t="shared" si="30"/>
        <v>0</v>
      </c>
      <c r="AG245" s="156">
        <f t="shared" si="30"/>
        <v>0</v>
      </c>
      <c r="AH245" s="156">
        <f t="shared" si="30"/>
        <v>0</v>
      </c>
      <c r="AI245" s="156">
        <f t="shared" si="30"/>
        <v>2034.27</v>
      </c>
      <c r="AJ245" s="156">
        <f t="shared" si="30"/>
        <v>0</v>
      </c>
      <c r="AK245" s="156">
        <f t="shared" si="30"/>
        <v>-20.29</v>
      </c>
      <c r="AL245" s="156">
        <f t="shared" si="30"/>
        <v>11762.929999999998</v>
      </c>
      <c r="AM245" s="156">
        <f t="shared" si="30"/>
        <v>-8116.8300000000008</v>
      </c>
      <c r="AN245" s="156">
        <f t="shared" si="30"/>
        <v>0</v>
      </c>
      <c r="AO245" s="156">
        <f t="shared" si="30"/>
        <v>106.02</v>
      </c>
      <c r="AP245" s="156">
        <f t="shared" si="30"/>
        <v>0</v>
      </c>
      <c r="AQ245" s="156">
        <f t="shared" si="30"/>
        <v>0</v>
      </c>
      <c r="AR245" s="156">
        <f t="shared" si="30"/>
        <v>0</v>
      </c>
      <c r="AS245" s="156">
        <f t="shared" si="30"/>
        <v>0</v>
      </c>
      <c r="AT245" s="156">
        <f t="shared" si="30"/>
        <v>230541.77000000002</v>
      </c>
    </row>
    <row r="246" spans="1:46" ht="11.25" hidden="1" outlineLevel="3">
      <c r="A246" s="155" t="s">
        <v>167</v>
      </c>
      <c r="B246" s="155" t="s">
        <v>146</v>
      </c>
      <c r="C246" s="155" t="s">
        <v>133</v>
      </c>
      <c r="D246" s="156" t="s">
        <v>64</v>
      </c>
      <c r="E246" s="156" t="s">
        <v>142</v>
      </c>
      <c r="F246" s="157">
        <v>0</v>
      </c>
      <c r="G246" s="157">
        <v>1526400</v>
      </c>
      <c r="H246" s="156">
        <v>69453.38</v>
      </c>
      <c r="I246" s="156">
        <v>0</v>
      </c>
      <c r="J246" s="156">
        <v>41991.26</v>
      </c>
      <c r="K246" s="156">
        <v>0</v>
      </c>
      <c r="L246" s="156">
        <v>0</v>
      </c>
      <c r="M246" s="156">
        <v>0</v>
      </c>
      <c r="N246" s="156">
        <f>J246+K246+L246+M246</f>
        <v>41991.26</v>
      </c>
      <c r="O246" s="156">
        <v>0</v>
      </c>
      <c r="P246" s="156">
        <v>0</v>
      </c>
      <c r="Q246" s="156">
        <v>0</v>
      </c>
      <c r="R246" s="156">
        <v>0</v>
      </c>
      <c r="S246" s="156">
        <v>0</v>
      </c>
      <c r="T246" s="156">
        <v>4665.22</v>
      </c>
      <c r="U246" s="156">
        <v>0</v>
      </c>
      <c r="V246" s="156">
        <v>0</v>
      </c>
      <c r="W246" s="156">
        <v>0</v>
      </c>
      <c r="X246" s="156">
        <v>244.22</v>
      </c>
      <c r="Y246" s="156">
        <v>0</v>
      </c>
      <c r="Z246" s="156">
        <v>0</v>
      </c>
      <c r="AA246" s="156">
        <v>0</v>
      </c>
      <c r="AB246" s="156">
        <v>0</v>
      </c>
      <c r="AC246" s="156">
        <v>0</v>
      </c>
      <c r="AD246" s="156">
        <v>0</v>
      </c>
      <c r="AE246" s="156">
        <v>0</v>
      </c>
      <c r="AF246" s="156">
        <v>0</v>
      </c>
      <c r="AG246" s="156">
        <v>0</v>
      </c>
      <c r="AH246" s="156">
        <v>0</v>
      </c>
      <c r="AI246" s="156">
        <v>0</v>
      </c>
      <c r="AJ246" s="156">
        <v>0</v>
      </c>
      <c r="AK246" s="156">
        <v>0</v>
      </c>
      <c r="AL246" s="156">
        <v>0</v>
      </c>
      <c r="AM246" s="156">
        <v>-8318.8799999999992</v>
      </c>
      <c r="AN246" s="156">
        <v>0</v>
      </c>
      <c r="AO246" s="156">
        <v>0</v>
      </c>
      <c r="AP246" s="156">
        <v>0</v>
      </c>
      <c r="AQ246" s="156">
        <v>0</v>
      </c>
      <c r="AR246" s="156">
        <v>0</v>
      </c>
      <c r="AS246" s="156">
        <v>0</v>
      </c>
      <c r="AT246" s="156">
        <f>H246+I246+N246+O246+P246+Q246+T246+X246+Y246+Z246+AA246+AB246+AM246+AO246</f>
        <v>108035.20000000001</v>
      </c>
    </row>
    <row r="247" spans="1:46" ht="11.25" outlineLevel="2" collapsed="1">
      <c r="D247" s="156"/>
      <c r="E247" s="156" t="s">
        <v>225</v>
      </c>
      <c r="F247" s="157">
        <v>1</v>
      </c>
      <c r="G247" s="157">
        <f t="shared" ref="G247:AT247" si="31">SUBTOTAL(9,G246:G246)</f>
        <v>1526400</v>
      </c>
      <c r="H247" s="156">
        <f t="shared" si="31"/>
        <v>69453.38</v>
      </c>
      <c r="I247" s="156">
        <f t="shared" si="31"/>
        <v>0</v>
      </c>
      <c r="J247" s="156">
        <f t="shared" si="31"/>
        <v>41991.26</v>
      </c>
      <c r="K247" s="156">
        <f t="shared" si="31"/>
        <v>0</v>
      </c>
      <c r="L247" s="156">
        <f t="shared" si="31"/>
        <v>0</v>
      </c>
      <c r="M247" s="156">
        <f t="shared" si="31"/>
        <v>0</v>
      </c>
      <c r="N247" s="156">
        <f t="shared" si="31"/>
        <v>41991.26</v>
      </c>
      <c r="O247" s="156">
        <f t="shared" si="31"/>
        <v>0</v>
      </c>
      <c r="P247" s="156">
        <f t="shared" si="31"/>
        <v>0</v>
      </c>
      <c r="Q247" s="156">
        <f t="shared" si="31"/>
        <v>0</v>
      </c>
      <c r="R247" s="156">
        <f t="shared" si="31"/>
        <v>0</v>
      </c>
      <c r="S247" s="156">
        <f t="shared" si="31"/>
        <v>0</v>
      </c>
      <c r="T247" s="156">
        <f t="shared" si="31"/>
        <v>4665.22</v>
      </c>
      <c r="U247" s="156">
        <f t="shared" si="31"/>
        <v>0</v>
      </c>
      <c r="V247" s="156">
        <f t="shared" si="31"/>
        <v>0</v>
      </c>
      <c r="W247" s="156">
        <f t="shared" si="31"/>
        <v>0</v>
      </c>
      <c r="X247" s="156">
        <f t="shared" si="31"/>
        <v>244.22</v>
      </c>
      <c r="Y247" s="156">
        <f t="shared" si="31"/>
        <v>0</v>
      </c>
      <c r="Z247" s="156">
        <f t="shared" si="31"/>
        <v>0</v>
      </c>
      <c r="AA247" s="156">
        <f t="shared" si="31"/>
        <v>0</v>
      </c>
      <c r="AB247" s="156">
        <f t="shared" si="31"/>
        <v>0</v>
      </c>
      <c r="AC247" s="156">
        <f t="shared" si="31"/>
        <v>0</v>
      </c>
      <c r="AD247" s="156">
        <f t="shared" si="31"/>
        <v>0</v>
      </c>
      <c r="AE247" s="156">
        <f t="shared" si="31"/>
        <v>0</v>
      </c>
      <c r="AF247" s="156">
        <f t="shared" si="31"/>
        <v>0</v>
      </c>
      <c r="AG247" s="156">
        <f t="shared" si="31"/>
        <v>0</v>
      </c>
      <c r="AH247" s="156">
        <f t="shared" si="31"/>
        <v>0</v>
      </c>
      <c r="AI247" s="156">
        <f t="shared" si="31"/>
        <v>0</v>
      </c>
      <c r="AJ247" s="156">
        <f t="shared" si="31"/>
        <v>0</v>
      </c>
      <c r="AK247" s="156">
        <f t="shared" si="31"/>
        <v>0</v>
      </c>
      <c r="AL247" s="156">
        <f t="shared" si="31"/>
        <v>0</v>
      </c>
      <c r="AM247" s="156">
        <f t="shared" si="31"/>
        <v>-8318.8799999999992</v>
      </c>
      <c r="AN247" s="156">
        <f t="shared" si="31"/>
        <v>0</v>
      </c>
      <c r="AO247" s="156">
        <f t="shared" si="31"/>
        <v>0</v>
      </c>
      <c r="AP247" s="156">
        <f t="shared" si="31"/>
        <v>0</v>
      </c>
      <c r="AQ247" s="156">
        <f t="shared" si="31"/>
        <v>0</v>
      </c>
      <c r="AR247" s="156">
        <f t="shared" si="31"/>
        <v>0</v>
      </c>
      <c r="AS247" s="156">
        <f t="shared" si="31"/>
        <v>0</v>
      </c>
      <c r="AT247" s="156">
        <f t="shared" si="31"/>
        <v>108035.20000000001</v>
      </c>
    </row>
    <row r="248" spans="1:46" ht="11.25" hidden="1" outlineLevel="3">
      <c r="A248" s="155" t="s">
        <v>152</v>
      </c>
      <c r="D248" s="156" t="s">
        <v>64</v>
      </c>
      <c r="E248" s="156" t="s">
        <v>150</v>
      </c>
      <c r="F248" s="157">
        <v>0</v>
      </c>
      <c r="G248" s="157">
        <v>-7983520</v>
      </c>
      <c r="H248" s="156">
        <v>-767695.29</v>
      </c>
      <c r="I248" s="156">
        <v>-14587.01</v>
      </c>
      <c r="J248" s="156">
        <v>0</v>
      </c>
      <c r="K248" s="156">
        <v>6091.66</v>
      </c>
      <c r="L248" s="156">
        <v>0</v>
      </c>
      <c r="M248" s="156">
        <v>0</v>
      </c>
      <c r="N248" s="156">
        <f t="shared" ref="N248:N258" si="32">J248+K248+L248+M248</f>
        <v>6091.66</v>
      </c>
      <c r="O248" s="156">
        <v>0</v>
      </c>
      <c r="P248" s="156">
        <v>0</v>
      </c>
      <c r="Q248" s="156">
        <v>0</v>
      </c>
      <c r="R248" s="156">
        <v>0</v>
      </c>
      <c r="S248" s="156">
        <v>0</v>
      </c>
      <c r="T248" s="156">
        <v>0</v>
      </c>
      <c r="U248" s="156">
        <v>0</v>
      </c>
      <c r="V248" s="156">
        <v>0</v>
      </c>
      <c r="W248" s="156">
        <v>0</v>
      </c>
      <c r="X248" s="156">
        <v>0</v>
      </c>
      <c r="Y248" s="156">
        <v>0</v>
      </c>
      <c r="Z248" s="156">
        <v>-5668.3</v>
      </c>
      <c r="AA248" s="156">
        <v>0</v>
      </c>
      <c r="AB248" s="156">
        <v>0</v>
      </c>
      <c r="AC248" s="156">
        <v>0</v>
      </c>
      <c r="AD248" s="156">
        <v>0</v>
      </c>
      <c r="AE248" s="156">
        <v>0</v>
      </c>
      <c r="AF248" s="156">
        <v>0</v>
      </c>
      <c r="AG248" s="156">
        <v>0</v>
      </c>
      <c r="AH248" s="156">
        <v>0</v>
      </c>
      <c r="AI248" s="156">
        <v>0</v>
      </c>
      <c r="AJ248" s="156">
        <v>0</v>
      </c>
      <c r="AK248" s="156">
        <v>0</v>
      </c>
      <c r="AL248" s="156">
        <v>-59077.38</v>
      </c>
      <c r="AM248" s="156">
        <v>37921.72</v>
      </c>
      <c r="AN248" s="156">
        <v>0</v>
      </c>
      <c r="AO248" s="156">
        <v>0</v>
      </c>
      <c r="AP248" s="156">
        <v>0</v>
      </c>
      <c r="AQ248" s="156">
        <v>0</v>
      </c>
      <c r="AR248" s="156">
        <v>0</v>
      </c>
      <c r="AS248" s="156">
        <v>0</v>
      </c>
      <c r="AT248" s="156">
        <f t="shared" ref="AT248:AT258" si="33">H248+I248+N248+O248+P248+Q248+T248+X248+Y248+Z248+AA248+AB248+AM248+AO248</f>
        <v>-743937.22000000009</v>
      </c>
    </row>
    <row r="249" spans="1:46" ht="11.25" hidden="1" outlineLevel="3">
      <c r="A249" s="155" t="s">
        <v>145</v>
      </c>
      <c r="B249" s="155" t="s">
        <v>146</v>
      </c>
      <c r="C249" s="155" t="s">
        <v>133</v>
      </c>
      <c r="D249" s="156" t="s">
        <v>64</v>
      </c>
      <c r="E249" s="156" t="s">
        <v>150</v>
      </c>
      <c r="F249" s="157">
        <v>0</v>
      </c>
      <c r="G249" s="157">
        <v>142559</v>
      </c>
      <c r="H249" s="156">
        <v>11283.6</v>
      </c>
      <c r="I249" s="156">
        <v>417.98</v>
      </c>
      <c r="J249" s="156">
        <v>0</v>
      </c>
      <c r="K249" s="156">
        <v>0</v>
      </c>
      <c r="L249" s="156">
        <v>0</v>
      </c>
      <c r="M249" s="156">
        <v>4161.4799999999996</v>
      </c>
      <c r="N249" s="156">
        <f t="shared" si="32"/>
        <v>4161.4799999999996</v>
      </c>
      <c r="O249" s="156">
        <v>0</v>
      </c>
      <c r="P249" s="156">
        <v>0</v>
      </c>
      <c r="Q249" s="156">
        <v>188.23</v>
      </c>
      <c r="R249" s="156">
        <v>0</v>
      </c>
      <c r="S249" s="156">
        <v>0</v>
      </c>
      <c r="T249" s="156">
        <v>0</v>
      </c>
      <c r="U249" s="156">
        <v>0</v>
      </c>
      <c r="V249" s="156">
        <v>0</v>
      </c>
      <c r="W249" s="156">
        <v>0</v>
      </c>
      <c r="X249" s="156">
        <v>0</v>
      </c>
      <c r="Y249" s="156">
        <v>0</v>
      </c>
      <c r="Z249" s="156">
        <v>0</v>
      </c>
      <c r="AA249" s="156">
        <v>0</v>
      </c>
      <c r="AB249" s="156">
        <v>0</v>
      </c>
      <c r="AC249" s="156">
        <v>0</v>
      </c>
      <c r="AD249" s="156">
        <v>0</v>
      </c>
      <c r="AE249" s="156">
        <v>0</v>
      </c>
      <c r="AF249" s="156">
        <v>0</v>
      </c>
      <c r="AG249" s="156">
        <v>0</v>
      </c>
      <c r="AH249" s="156">
        <v>0</v>
      </c>
      <c r="AI249" s="156">
        <v>89.98</v>
      </c>
      <c r="AJ249" s="156">
        <v>0</v>
      </c>
      <c r="AK249" s="156">
        <v>0</v>
      </c>
      <c r="AL249" s="156">
        <v>1136.8</v>
      </c>
      <c r="AM249" s="156">
        <v>0</v>
      </c>
      <c r="AN249" s="156">
        <v>0</v>
      </c>
      <c r="AO249" s="156">
        <v>1742.07</v>
      </c>
      <c r="AP249" s="156">
        <v>0</v>
      </c>
      <c r="AQ249" s="156">
        <v>0</v>
      </c>
      <c r="AR249" s="156">
        <v>0</v>
      </c>
      <c r="AS249" s="156">
        <v>0</v>
      </c>
      <c r="AT249" s="156">
        <f t="shared" si="33"/>
        <v>17793.36</v>
      </c>
    </row>
    <row r="250" spans="1:46" ht="11.25" hidden="1" outlineLevel="3">
      <c r="A250" s="155" t="s">
        <v>145</v>
      </c>
      <c r="B250" s="155" t="s">
        <v>147</v>
      </c>
      <c r="C250" s="155" t="s">
        <v>133</v>
      </c>
      <c r="D250" s="156" t="s">
        <v>64</v>
      </c>
      <c r="E250" s="156" t="s">
        <v>150</v>
      </c>
      <c r="F250" s="157">
        <v>0</v>
      </c>
      <c r="G250" s="157">
        <v>88873</v>
      </c>
      <c r="H250" s="156">
        <v>7317.53</v>
      </c>
      <c r="I250" s="156">
        <v>285.77999999999997</v>
      </c>
      <c r="J250" s="156">
        <v>0</v>
      </c>
      <c r="K250" s="156">
        <v>0</v>
      </c>
      <c r="L250" s="156">
        <v>0</v>
      </c>
      <c r="M250" s="156">
        <v>2615.4699999999998</v>
      </c>
      <c r="N250" s="156">
        <f t="shared" si="32"/>
        <v>2615.4699999999998</v>
      </c>
      <c r="O250" s="156">
        <v>0</v>
      </c>
      <c r="P250" s="156">
        <v>0</v>
      </c>
      <c r="Q250" s="156">
        <v>117.31</v>
      </c>
      <c r="R250" s="156">
        <v>0</v>
      </c>
      <c r="S250" s="156">
        <v>0</v>
      </c>
      <c r="T250" s="156">
        <v>0</v>
      </c>
      <c r="U250" s="156">
        <v>0</v>
      </c>
      <c r="V250" s="156">
        <v>0</v>
      </c>
      <c r="W250" s="156">
        <v>0</v>
      </c>
      <c r="X250" s="156">
        <v>0</v>
      </c>
      <c r="Y250" s="156">
        <v>0</v>
      </c>
      <c r="Z250" s="156">
        <v>0</v>
      </c>
      <c r="AA250" s="156">
        <v>0</v>
      </c>
      <c r="AB250" s="156">
        <v>0</v>
      </c>
      <c r="AC250" s="156">
        <v>0</v>
      </c>
      <c r="AD250" s="156">
        <v>0</v>
      </c>
      <c r="AE250" s="156">
        <v>0</v>
      </c>
      <c r="AF250" s="156">
        <v>0</v>
      </c>
      <c r="AG250" s="156">
        <v>0</v>
      </c>
      <c r="AH250" s="156">
        <v>0</v>
      </c>
      <c r="AI250" s="156">
        <v>19.04</v>
      </c>
      <c r="AJ250" s="156">
        <v>0</v>
      </c>
      <c r="AK250" s="156">
        <v>0</v>
      </c>
      <c r="AL250" s="156">
        <v>828.25999999999897</v>
      </c>
      <c r="AM250" s="156">
        <v>0</v>
      </c>
      <c r="AN250" s="156">
        <v>0</v>
      </c>
      <c r="AO250" s="156">
        <v>1086.07</v>
      </c>
      <c r="AP250" s="156">
        <v>0</v>
      </c>
      <c r="AQ250" s="156">
        <v>0</v>
      </c>
      <c r="AR250" s="156">
        <v>0</v>
      </c>
      <c r="AS250" s="156">
        <v>0</v>
      </c>
      <c r="AT250" s="156">
        <f t="shared" si="33"/>
        <v>11422.159999999998</v>
      </c>
    </row>
    <row r="251" spans="1:46" ht="11.25" hidden="1" outlineLevel="3">
      <c r="A251" s="155" t="s">
        <v>152</v>
      </c>
      <c r="B251" s="155" t="s">
        <v>153</v>
      </c>
      <c r="C251" s="155" t="s">
        <v>133</v>
      </c>
      <c r="D251" s="156" t="s">
        <v>64</v>
      </c>
      <c r="E251" s="156" t="s">
        <v>150</v>
      </c>
      <c r="F251" s="157">
        <v>0</v>
      </c>
      <c r="G251" s="157">
        <v>164810</v>
      </c>
      <c r="H251" s="156">
        <v>19331.150000000001</v>
      </c>
      <c r="I251" s="156">
        <v>680.49</v>
      </c>
      <c r="J251" s="156">
        <v>0</v>
      </c>
      <c r="K251" s="156">
        <v>211.63</v>
      </c>
      <c r="L251" s="156">
        <v>0</v>
      </c>
      <c r="M251" s="156">
        <v>0</v>
      </c>
      <c r="N251" s="156">
        <f t="shared" si="32"/>
        <v>211.63</v>
      </c>
      <c r="O251" s="156">
        <v>0</v>
      </c>
      <c r="P251" s="156">
        <v>0</v>
      </c>
      <c r="Q251" s="156">
        <v>0</v>
      </c>
      <c r="R251" s="156">
        <v>0</v>
      </c>
      <c r="S251" s="156">
        <v>0</v>
      </c>
      <c r="T251" s="156">
        <v>0</v>
      </c>
      <c r="U251" s="156">
        <v>0</v>
      </c>
      <c r="V251" s="156">
        <v>0</v>
      </c>
      <c r="W251" s="156">
        <v>0</v>
      </c>
      <c r="X251" s="156">
        <v>0</v>
      </c>
      <c r="Y251" s="156">
        <v>0</v>
      </c>
      <c r="Z251" s="156">
        <v>117.06</v>
      </c>
      <c r="AA251" s="156">
        <v>0</v>
      </c>
      <c r="AB251" s="156">
        <v>0</v>
      </c>
      <c r="AC251" s="156">
        <v>0</v>
      </c>
      <c r="AD251" s="156">
        <v>0</v>
      </c>
      <c r="AE251" s="156">
        <v>0</v>
      </c>
      <c r="AF251" s="156">
        <v>0</v>
      </c>
      <c r="AG251" s="156">
        <v>0</v>
      </c>
      <c r="AH251" s="156">
        <v>0</v>
      </c>
      <c r="AI251" s="156">
        <v>262.95</v>
      </c>
      <c r="AJ251" s="156">
        <v>0</v>
      </c>
      <c r="AK251" s="156">
        <v>-20.94</v>
      </c>
      <c r="AL251" s="156">
        <v>1370.27</v>
      </c>
      <c r="AM251" s="156">
        <v>-782.85</v>
      </c>
      <c r="AN251" s="156">
        <v>0</v>
      </c>
      <c r="AO251" s="156">
        <v>0</v>
      </c>
      <c r="AP251" s="156">
        <v>0</v>
      </c>
      <c r="AQ251" s="156">
        <v>0</v>
      </c>
      <c r="AR251" s="156">
        <v>0</v>
      </c>
      <c r="AS251" s="156">
        <v>0</v>
      </c>
      <c r="AT251" s="156">
        <f t="shared" si="33"/>
        <v>19557.480000000007</v>
      </c>
    </row>
    <row r="252" spans="1:46" ht="11.25" hidden="1" outlineLevel="3">
      <c r="A252" s="155" t="s">
        <v>152</v>
      </c>
      <c r="B252" s="155" t="s">
        <v>154</v>
      </c>
      <c r="C252" s="155" t="s">
        <v>133</v>
      </c>
      <c r="D252" s="156" t="s">
        <v>64</v>
      </c>
      <c r="E252" s="156" t="s">
        <v>150</v>
      </c>
      <c r="F252" s="157">
        <v>0</v>
      </c>
      <c r="G252" s="157">
        <v>1165447</v>
      </c>
      <c r="H252" s="156">
        <v>132184.54999999999</v>
      </c>
      <c r="I252" s="156">
        <v>2756.08</v>
      </c>
      <c r="J252" s="156">
        <v>0</v>
      </c>
      <c r="K252" s="156">
        <v>2095.7199999999998</v>
      </c>
      <c r="L252" s="156">
        <v>0</v>
      </c>
      <c r="M252" s="156">
        <v>0</v>
      </c>
      <c r="N252" s="156">
        <f t="shared" si="32"/>
        <v>2095.7199999999998</v>
      </c>
      <c r="O252" s="156">
        <v>0</v>
      </c>
      <c r="P252" s="156">
        <v>0</v>
      </c>
      <c r="Q252" s="156">
        <v>0</v>
      </c>
      <c r="R252" s="156">
        <v>0</v>
      </c>
      <c r="S252" s="156">
        <v>0</v>
      </c>
      <c r="T252" s="156">
        <v>0</v>
      </c>
      <c r="U252" s="156">
        <v>0</v>
      </c>
      <c r="V252" s="156">
        <v>0</v>
      </c>
      <c r="W252" s="156">
        <v>0</v>
      </c>
      <c r="X252" s="156">
        <v>0</v>
      </c>
      <c r="Y252" s="156">
        <v>0</v>
      </c>
      <c r="Z252" s="156">
        <v>827.43</v>
      </c>
      <c r="AA252" s="156">
        <v>0</v>
      </c>
      <c r="AB252" s="156">
        <v>0</v>
      </c>
      <c r="AC252" s="156">
        <v>0</v>
      </c>
      <c r="AD252" s="156">
        <v>0</v>
      </c>
      <c r="AE252" s="156">
        <v>0</v>
      </c>
      <c r="AF252" s="156">
        <v>0</v>
      </c>
      <c r="AG252" s="156">
        <v>0</v>
      </c>
      <c r="AH252" s="156">
        <v>0</v>
      </c>
      <c r="AI252" s="156">
        <v>997.61</v>
      </c>
      <c r="AJ252" s="156">
        <v>0</v>
      </c>
      <c r="AK252" s="156">
        <v>-95.41</v>
      </c>
      <c r="AL252" s="156">
        <v>7198.81</v>
      </c>
      <c r="AM252" s="156">
        <v>-5535.77</v>
      </c>
      <c r="AN252" s="156">
        <v>0</v>
      </c>
      <c r="AO252" s="156">
        <v>0</v>
      </c>
      <c r="AP252" s="156">
        <v>0</v>
      </c>
      <c r="AQ252" s="156">
        <v>0</v>
      </c>
      <c r="AR252" s="156">
        <v>-617.21</v>
      </c>
      <c r="AS252" s="156">
        <v>-56505.090551759597</v>
      </c>
      <c r="AT252" s="156">
        <f t="shared" si="33"/>
        <v>132328.00999999998</v>
      </c>
    </row>
    <row r="253" spans="1:46" ht="11.25" hidden="1" outlineLevel="3">
      <c r="A253" s="155" t="s">
        <v>152</v>
      </c>
      <c r="B253" s="155" t="s">
        <v>155</v>
      </c>
      <c r="C253" s="155" t="s">
        <v>133</v>
      </c>
      <c r="D253" s="156" t="s">
        <v>64</v>
      </c>
      <c r="E253" s="156" t="s">
        <v>150</v>
      </c>
      <c r="F253" s="157">
        <v>0</v>
      </c>
      <c r="G253" s="157">
        <v>11374623</v>
      </c>
      <c r="H253" s="156">
        <v>1146985.79</v>
      </c>
      <c r="I253" s="156">
        <v>21651.78</v>
      </c>
      <c r="J253" s="156">
        <v>0</v>
      </c>
      <c r="K253" s="156">
        <v>-1990</v>
      </c>
      <c r="L253" s="156">
        <v>0</v>
      </c>
      <c r="M253" s="156">
        <v>0</v>
      </c>
      <c r="N253" s="156">
        <f t="shared" si="32"/>
        <v>-1990</v>
      </c>
      <c r="O253" s="156">
        <v>0</v>
      </c>
      <c r="P253" s="156">
        <v>0</v>
      </c>
      <c r="Q253" s="156">
        <v>0</v>
      </c>
      <c r="R253" s="156">
        <v>0</v>
      </c>
      <c r="S253" s="156">
        <v>0</v>
      </c>
      <c r="T253" s="156">
        <v>0</v>
      </c>
      <c r="U253" s="156">
        <v>0</v>
      </c>
      <c r="V253" s="156">
        <v>0</v>
      </c>
      <c r="W253" s="156">
        <v>0</v>
      </c>
      <c r="X253" s="156">
        <v>0</v>
      </c>
      <c r="Y253" s="156">
        <v>0</v>
      </c>
      <c r="Z253" s="156">
        <v>8076.01</v>
      </c>
      <c r="AA253" s="156">
        <v>0</v>
      </c>
      <c r="AB253" s="156">
        <v>0</v>
      </c>
      <c r="AC253" s="156">
        <v>0</v>
      </c>
      <c r="AD253" s="156">
        <v>0</v>
      </c>
      <c r="AE253" s="156">
        <v>0</v>
      </c>
      <c r="AF253" s="156">
        <v>0</v>
      </c>
      <c r="AG253" s="156">
        <v>0</v>
      </c>
      <c r="AH253" s="156">
        <v>0</v>
      </c>
      <c r="AI253" s="156">
        <v>2742.75</v>
      </c>
      <c r="AJ253" s="156">
        <v>40</v>
      </c>
      <c r="AK253" s="156">
        <v>-155.47999999999999</v>
      </c>
      <c r="AL253" s="156">
        <v>86285.78</v>
      </c>
      <c r="AM253" s="156">
        <v>-54029.56</v>
      </c>
      <c r="AN253" s="156">
        <v>0</v>
      </c>
      <c r="AO253" s="156">
        <v>0</v>
      </c>
      <c r="AP253" s="156">
        <v>0</v>
      </c>
      <c r="AQ253" s="156">
        <v>0</v>
      </c>
      <c r="AR253" s="156">
        <v>-86.57</v>
      </c>
      <c r="AS253" s="156">
        <v>-40054.463301741198</v>
      </c>
      <c r="AT253" s="156">
        <f t="shared" si="33"/>
        <v>1120694.02</v>
      </c>
    </row>
    <row r="254" spans="1:46" ht="11.25" hidden="1" outlineLevel="3">
      <c r="A254" s="155" t="s">
        <v>152</v>
      </c>
      <c r="B254" s="155" t="s">
        <v>157</v>
      </c>
      <c r="C254" s="155" t="s">
        <v>133</v>
      </c>
      <c r="D254" s="156" t="s">
        <v>64</v>
      </c>
      <c r="E254" s="156" t="s">
        <v>150</v>
      </c>
      <c r="F254" s="157">
        <v>0</v>
      </c>
      <c r="G254" s="157">
        <v>1138851</v>
      </c>
      <c r="H254" s="156">
        <v>127789.43</v>
      </c>
      <c r="I254" s="156">
        <v>6705.67</v>
      </c>
      <c r="J254" s="156">
        <v>0</v>
      </c>
      <c r="K254" s="156">
        <v>1686.98</v>
      </c>
      <c r="L254" s="156">
        <v>0</v>
      </c>
      <c r="M254" s="156">
        <v>0</v>
      </c>
      <c r="N254" s="156">
        <f t="shared" si="32"/>
        <v>1686.98</v>
      </c>
      <c r="O254" s="156">
        <v>0</v>
      </c>
      <c r="P254" s="156">
        <v>0</v>
      </c>
      <c r="Q254" s="156">
        <v>0</v>
      </c>
      <c r="R254" s="156">
        <v>0</v>
      </c>
      <c r="S254" s="156">
        <v>0</v>
      </c>
      <c r="T254" s="156">
        <v>0</v>
      </c>
      <c r="U254" s="156">
        <v>0</v>
      </c>
      <c r="V254" s="156">
        <v>0</v>
      </c>
      <c r="W254" s="156">
        <v>0</v>
      </c>
      <c r="X254" s="156">
        <v>0</v>
      </c>
      <c r="Y254" s="156">
        <v>0</v>
      </c>
      <c r="Z254" s="156">
        <v>748.67</v>
      </c>
      <c r="AA254" s="156">
        <v>0</v>
      </c>
      <c r="AB254" s="156">
        <v>0</v>
      </c>
      <c r="AC254" s="156">
        <v>0</v>
      </c>
      <c r="AD254" s="156">
        <v>0</v>
      </c>
      <c r="AE254" s="156">
        <v>0</v>
      </c>
      <c r="AF254" s="156">
        <v>0</v>
      </c>
      <c r="AG254" s="156">
        <v>0</v>
      </c>
      <c r="AH254" s="156">
        <v>0</v>
      </c>
      <c r="AI254" s="156">
        <v>1108.8</v>
      </c>
      <c r="AJ254" s="156">
        <v>20</v>
      </c>
      <c r="AK254" s="156">
        <v>-107.8</v>
      </c>
      <c r="AL254" s="156">
        <v>7689.85</v>
      </c>
      <c r="AM254" s="156">
        <v>-5409.59</v>
      </c>
      <c r="AN254" s="156">
        <v>0</v>
      </c>
      <c r="AO254" s="156">
        <v>0</v>
      </c>
      <c r="AP254" s="156">
        <v>0</v>
      </c>
      <c r="AQ254" s="156">
        <v>0</v>
      </c>
      <c r="AR254" s="156">
        <v>-96.22</v>
      </c>
      <c r="AS254" s="156">
        <v>-687603.22625082696</v>
      </c>
      <c r="AT254" s="156">
        <f t="shared" si="33"/>
        <v>131521.16000000003</v>
      </c>
    </row>
    <row r="255" spans="1:46" ht="11.25" hidden="1" outlineLevel="3">
      <c r="A255" s="155" t="s">
        <v>152</v>
      </c>
      <c r="B255" s="155" t="s">
        <v>137</v>
      </c>
      <c r="C255" s="155" t="s">
        <v>133</v>
      </c>
      <c r="D255" s="156" t="s">
        <v>64</v>
      </c>
      <c r="E255" s="156" t="s">
        <v>150</v>
      </c>
      <c r="F255" s="157">
        <v>0</v>
      </c>
      <c r="G255" s="157">
        <v>434552</v>
      </c>
      <c r="H255" s="156">
        <v>49361.54</v>
      </c>
      <c r="I255" s="156">
        <v>1142.76</v>
      </c>
      <c r="J255" s="156">
        <v>0</v>
      </c>
      <c r="K255" s="156">
        <v>257.91000000000003</v>
      </c>
      <c r="L255" s="156">
        <v>0</v>
      </c>
      <c r="M255" s="156">
        <v>0</v>
      </c>
      <c r="N255" s="156">
        <f t="shared" si="32"/>
        <v>257.91000000000003</v>
      </c>
      <c r="O255" s="156">
        <v>0</v>
      </c>
      <c r="P255" s="156">
        <v>0</v>
      </c>
      <c r="Q255" s="156">
        <v>0</v>
      </c>
      <c r="R255" s="156">
        <v>0</v>
      </c>
      <c r="S255" s="156">
        <v>0</v>
      </c>
      <c r="T255" s="156">
        <v>0</v>
      </c>
      <c r="U255" s="156">
        <v>0</v>
      </c>
      <c r="V255" s="156">
        <v>0</v>
      </c>
      <c r="W255" s="156">
        <v>0</v>
      </c>
      <c r="X255" s="156">
        <v>0</v>
      </c>
      <c r="Y255" s="156">
        <v>0</v>
      </c>
      <c r="Z255" s="156">
        <v>307.20999999999998</v>
      </c>
      <c r="AA255" s="156">
        <v>0</v>
      </c>
      <c r="AB255" s="156">
        <v>0</v>
      </c>
      <c r="AC255" s="156">
        <v>0</v>
      </c>
      <c r="AD255" s="156">
        <v>0</v>
      </c>
      <c r="AE255" s="156">
        <v>0</v>
      </c>
      <c r="AF255" s="156">
        <v>0</v>
      </c>
      <c r="AG255" s="156">
        <v>0</v>
      </c>
      <c r="AH255" s="156">
        <v>0</v>
      </c>
      <c r="AI255" s="156">
        <v>332.74</v>
      </c>
      <c r="AJ255" s="156">
        <v>0</v>
      </c>
      <c r="AK255" s="156">
        <v>0</v>
      </c>
      <c r="AL255" s="156">
        <v>2601.02</v>
      </c>
      <c r="AM255" s="156">
        <v>-2064.1799999999998</v>
      </c>
      <c r="AN255" s="156">
        <v>0</v>
      </c>
      <c r="AO255" s="156">
        <v>0</v>
      </c>
      <c r="AP255" s="156">
        <v>0</v>
      </c>
      <c r="AQ255" s="156">
        <v>0</v>
      </c>
      <c r="AR255" s="156">
        <v>0</v>
      </c>
      <c r="AS255" s="156">
        <v>0</v>
      </c>
      <c r="AT255" s="156">
        <f t="shared" si="33"/>
        <v>49005.240000000005</v>
      </c>
    </row>
    <row r="256" spans="1:46" ht="11.25" hidden="1" outlineLevel="3">
      <c r="A256" s="155" t="s">
        <v>152</v>
      </c>
      <c r="B256" s="155" t="s">
        <v>158</v>
      </c>
      <c r="C256" s="155" t="s">
        <v>133</v>
      </c>
      <c r="D256" s="156" t="s">
        <v>64</v>
      </c>
      <c r="E256" s="156" t="s">
        <v>150</v>
      </c>
      <c r="F256" s="157">
        <v>0</v>
      </c>
      <c r="G256" s="157">
        <v>650538</v>
      </c>
      <c r="H256" s="156">
        <v>72782.92</v>
      </c>
      <c r="I256" s="156">
        <v>2002.1</v>
      </c>
      <c r="J256" s="156">
        <v>0</v>
      </c>
      <c r="K256" s="156">
        <v>780.02</v>
      </c>
      <c r="L256" s="156">
        <v>0</v>
      </c>
      <c r="M256" s="156">
        <v>0</v>
      </c>
      <c r="N256" s="156">
        <f t="shared" si="32"/>
        <v>780.02</v>
      </c>
      <c r="O256" s="156">
        <v>0</v>
      </c>
      <c r="P256" s="156">
        <v>0</v>
      </c>
      <c r="Q256" s="156">
        <v>0</v>
      </c>
      <c r="R256" s="156">
        <v>0</v>
      </c>
      <c r="S256" s="156">
        <v>0</v>
      </c>
      <c r="T256" s="156">
        <v>0</v>
      </c>
      <c r="U256" s="156">
        <v>0</v>
      </c>
      <c r="V256" s="156">
        <v>0</v>
      </c>
      <c r="W256" s="156">
        <v>0</v>
      </c>
      <c r="X256" s="156">
        <v>0</v>
      </c>
      <c r="Y256" s="156">
        <v>0</v>
      </c>
      <c r="Z256" s="156">
        <v>461.95</v>
      </c>
      <c r="AA256" s="156">
        <v>0</v>
      </c>
      <c r="AB256" s="156">
        <v>0</v>
      </c>
      <c r="AC256" s="156">
        <v>0</v>
      </c>
      <c r="AD256" s="156">
        <v>0</v>
      </c>
      <c r="AE256" s="156">
        <v>0</v>
      </c>
      <c r="AF256" s="156">
        <v>0</v>
      </c>
      <c r="AG256" s="156">
        <v>0</v>
      </c>
      <c r="AH256" s="156">
        <v>0</v>
      </c>
      <c r="AI256" s="156">
        <v>512.09</v>
      </c>
      <c r="AJ256" s="156">
        <v>20</v>
      </c>
      <c r="AK256" s="156">
        <v>0</v>
      </c>
      <c r="AL256" s="156">
        <v>4738</v>
      </c>
      <c r="AM256" s="156">
        <v>-3090.07</v>
      </c>
      <c r="AN256" s="156">
        <v>0</v>
      </c>
      <c r="AO256" s="156">
        <v>0</v>
      </c>
      <c r="AP256" s="156">
        <v>0</v>
      </c>
      <c r="AQ256" s="156">
        <v>0</v>
      </c>
      <c r="AR256" s="156">
        <v>0</v>
      </c>
      <c r="AS256" s="156">
        <v>0</v>
      </c>
      <c r="AT256" s="156">
        <f t="shared" si="33"/>
        <v>72936.92</v>
      </c>
    </row>
    <row r="257" spans="1:46" ht="11.25" hidden="1" outlineLevel="3">
      <c r="A257" s="155" t="s">
        <v>152</v>
      </c>
      <c r="B257" s="155" t="s">
        <v>159</v>
      </c>
      <c r="C257" s="155" t="s">
        <v>133</v>
      </c>
      <c r="D257" s="156" t="s">
        <v>64</v>
      </c>
      <c r="E257" s="156" t="s">
        <v>150</v>
      </c>
      <c r="F257" s="157">
        <v>0</v>
      </c>
      <c r="G257" s="157">
        <v>79323</v>
      </c>
      <c r="H257" s="156">
        <v>8617.93</v>
      </c>
      <c r="I257" s="156">
        <v>124.77</v>
      </c>
      <c r="J257" s="156">
        <v>0</v>
      </c>
      <c r="K257" s="156">
        <v>195.28</v>
      </c>
      <c r="L257" s="156">
        <v>0</v>
      </c>
      <c r="M257" s="156">
        <v>0</v>
      </c>
      <c r="N257" s="156">
        <f t="shared" si="32"/>
        <v>195.28</v>
      </c>
      <c r="O257" s="156">
        <v>0</v>
      </c>
      <c r="P257" s="156">
        <v>0</v>
      </c>
      <c r="Q257" s="156">
        <v>0</v>
      </c>
      <c r="R257" s="156">
        <v>0</v>
      </c>
      <c r="S257" s="156">
        <v>0</v>
      </c>
      <c r="T257" s="156">
        <v>0</v>
      </c>
      <c r="U257" s="156">
        <v>0</v>
      </c>
      <c r="V257" s="156">
        <v>0</v>
      </c>
      <c r="W257" s="156">
        <v>0</v>
      </c>
      <c r="X257" s="156">
        <v>0</v>
      </c>
      <c r="Y257" s="156">
        <v>0</v>
      </c>
      <c r="Z257" s="156">
        <v>56.29</v>
      </c>
      <c r="AA257" s="156">
        <v>0</v>
      </c>
      <c r="AB257" s="156">
        <v>0</v>
      </c>
      <c r="AC257" s="156">
        <v>0</v>
      </c>
      <c r="AD257" s="156">
        <v>0</v>
      </c>
      <c r="AE257" s="156">
        <v>0</v>
      </c>
      <c r="AF257" s="156">
        <v>0</v>
      </c>
      <c r="AG257" s="156">
        <v>0</v>
      </c>
      <c r="AH257" s="156">
        <v>0</v>
      </c>
      <c r="AI257" s="156">
        <v>97.86</v>
      </c>
      <c r="AJ257" s="156">
        <v>0</v>
      </c>
      <c r="AK257" s="156">
        <v>0</v>
      </c>
      <c r="AL257" s="156">
        <v>559.97</v>
      </c>
      <c r="AM257" s="156">
        <v>-376.8</v>
      </c>
      <c r="AN257" s="156">
        <v>0</v>
      </c>
      <c r="AO257" s="156">
        <v>0</v>
      </c>
      <c r="AP257" s="156">
        <v>0</v>
      </c>
      <c r="AQ257" s="156">
        <v>0</v>
      </c>
      <c r="AR257" s="156">
        <v>0</v>
      </c>
      <c r="AS257" s="156">
        <v>0</v>
      </c>
      <c r="AT257" s="156">
        <f t="shared" si="33"/>
        <v>8617.470000000003</v>
      </c>
    </row>
    <row r="258" spans="1:46" ht="11.25" hidden="1" outlineLevel="3">
      <c r="A258" s="155" t="s">
        <v>152</v>
      </c>
      <c r="B258" s="155" t="s">
        <v>160</v>
      </c>
      <c r="C258" s="155" t="s">
        <v>133</v>
      </c>
      <c r="D258" s="156" t="s">
        <v>64</v>
      </c>
      <c r="E258" s="156" t="s">
        <v>150</v>
      </c>
      <c r="F258" s="157">
        <v>0</v>
      </c>
      <c r="G258" s="157">
        <v>297311</v>
      </c>
      <c r="H258" s="156">
        <v>33539.730000000003</v>
      </c>
      <c r="I258" s="156">
        <v>707.74</v>
      </c>
      <c r="J258" s="156">
        <v>0</v>
      </c>
      <c r="K258" s="156">
        <v>418.88</v>
      </c>
      <c r="L258" s="156">
        <v>0</v>
      </c>
      <c r="M258" s="156">
        <v>0</v>
      </c>
      <c r="N258" s="156">
        <f t="shared" si="32"/>
        <v>418.88</v>
      </c>
      <c r="O258" s="156">
        <v>0</v>
      </c>
      <c r="P258" s="156">
        <v>0</v>
      </c>
      <c r="Q258" s="156">
        <v>0</v>
      </c>
      <c r="R258" s="156">
        <v>0</v>
      </c>
      <c r="S258" s="156">
        <v>0</v>
      </c>
      <c r="T258" s="156">
        <v>0</v>
      </c>
      <c r="U258" s="156">
        <v>0</v>
      </c>
      <c r="V258" s="156">
        <v>0</v>
      </c>
      <c r="W258" s="156">
        <v>0</v>
      </c>
      <c r="X258" s="156">
        <v>0</v>
      </c>
      <c r="Y258" s="156">
        <v>0</v>
      </c>
      <c r="Z258" s="156">
        <v>200.57</v>
      </c>
      <c r="AA258" s="156">
        <v>0</v>
      </c>
      <c r="AB258" s="156">
        <v>0</v>
      </c>
      <c r="AC258" s="156">
        <v>0</v>
      </c>
      <c r="AD258" s="156">
        <v>0</v>
      </c>
      <c r="AE258" s="156">
        <v>0</v>
      </c>
      <c r="AF258" s="156">
        <v>0</v>
      </c>
      <c r="AG258" s="156">
        <v>0</v>
      </c>
      <c r="AH258" s="156">
        <v>0</v>
      </c>
      <c r="AI258" s="156">
        <v>771.32</v>
      </c>
      <c r="AJ258" s="156">
        <v>0</v>
      </c>
      <c r="AK258" s="156">
        <v>-9.32</v>
      </c>
      <c r="AL258" s="156">
        <v>1673.07</v>
      </c>
      <c r="AM258" s="156">
        <v>-1412.21</v>
      </c>
      <c r="AN258" s="156">
        <v>0</v>
      </c>
      <c r="AO258" s="156">
        <v>0</v>
      </c>
      <c r="AP258" s="156">
        <v>0</v>
      </c>
      <c r="AQ258" s="156">
        <v>0</v>
      </c>
      <c r="AR258" s="156">
        <v>0</v>
      </c>
      <c r="AS258" s="156">
        <v>0</v>
      </c>
      <c r="AT258" s="156">
        <f t="shared" si="33"/>
        <v>33454.71</v>
      </c>
    </row>
    <row r="259" spans="1:46" ht="11.25" outlineLevel="2" collapsed="1">
      <c r="D259" s="156"/>
      <c r="E259" s="156" t="s">
        <v>226</v>
      </c>
      <c r="F259" s="157">
        <v>3070</v>
      </c>
      <c r="G259" s="157">
        <f t="shared" ref="G259:AT259" si="34">SUBTOTAL(9,G248:G258)</f>
        <v>7553367</v>
      </c>
      <c r="H259" s="156">
        <f t="shared" si="34"/>
        <v>841498.88000000012</v>
      </c>
      <c r="I259" s="156">
        <f t="shared" si="34"/>
        <v>21888.139999999996</v>
      </c>
      <c r="J259" s="156">
        <f t="shared" si="34"/>
        <v>0</v>
      </c>
      <c r="K259" s="156">
        <f t="shared" si="34"/>
        <v>9748.08</v>
      </c>
      <c r="L259" s="156">
        <f t="shared" si="34"/>
        <v>0</v>
      </c>
      <c r="M259" s="156">
        <f t="shared" si="34"/>
        <v>6776.9499999999989</v>
      </c>
      <c r="N259" s="156">
        <f t="shared" si="34"/>
        <v>16525.03</v>
      </c>
      <c r="O259" s="156">
        <f t="shared" si="34"/>
        <v>0</v>
      </c>
      <c r="P259" s="156">
        <f t="shared" si="34"/>
        <v>0</v>
      </c>
      <c r="Q259" s="156">
        <f t="shared" si="34"/>
        <v>305.53999999999996</v>
      </c>
      <c r="R259" s="156">
        <f t="shared" si="34"/>
        <v>0</v>
      </c>
      <c r="S259" s="156">
        <f t="shared" si="34"/>
        <v>0</v>
      </c>
      <c r="T259" s="156">
        <f t="shared" si="34"/>
        <v>0</v>
      </c>
      <c r="U259" s="156">
        <f t="shared" si="34"/>
        <v>0</v>
      </c>
      <c r="V259" s="156">
        <f t="shared" si="34"/>
        <v>0</v>
      </c>
      <c r="W259" s="156">
        <f t="shared" si="34"/>
        <v>0</v>
      </c>
      <c r="X259" s="156">
        <f t="shared" si="34"/>
        <v>0</v>
      </c>
      <c r="Y259" s="156">
        <f t="shared" si="34"/>
        <v>0</v>
      </c>
      <c r="Z259" s="156">
        <f t="shared" si="34"/>
        <v>5126.8900000000003</v>
      </c>
      <c r="AA259" s="156">
        <f t="shared" si="34"/>
        <v>0</v>
      </c>
      <c r="AB259" s="156">
        <f t="shared" si="34"/>
        <v>0</v>
      </c>
      <c r="AC259" s="156">
        <f t="shared" si="34"/>
        <v>0</v>
      </c>
      <c r="AD259" s="156">
        <f t="shared" si="34"/>
        <v>0</v>
      </c>
      <c r="AE259" s="156">
        <f t="shared" si="34"/>
        <v>0</v>
      </c>
      <c r="AF259" s="156">
        <f t="shared" si="34"/>
        <v>0</v>
      </c>
      <c r="AG259" s="156">
        <f t="shared" si="34"/>
        <v>0</v>
      </c>
      <c r="AH259" s="156">
        <f t="shared" si="34"/>
        <v>0</v>
      </c>
      <c r="AI259" s="156">
        <f t="shared" si="34"/>
        <v>6935.1399999999994</v>
      </c>
      <c r="AJ259" s="156">
        <f t="shared" si="34"/>
        <v>80</v>
      </c>
      <c r="AK259" s="156">
        <f t="shared" si="34"/>
        <v>-388.95</v>
      </c>
      <c r="AL259" s="156">
        <f t="shared" si="34"/>
        <v>55004.45</v>
      </c>
      <c r="AM259" s="156">
        <f t="shared" si="34"/>
        <v>-34779.31</v>
      </c>
      <c r="AN259" s="156">
        <f t="shared" si="34"/>
        <v>0</v>
      </c>
      <c r="AO259" s="156">
        <f t="shared" si="34"/>
        <v>2828.14</v>
      </c>
      <c r="AP259" s="156">
        <f t="shared" si="34"/>
        <v>0</v>
      </c>
      <c r="AQ259" s="156">
        <f t="shared" si="34"/>
        <v>0</v>
      </c>
      <c r="AR259" s="156">
        <f t="shared" si="34"/>
        <v>-800</v>
      </c>
      <c r="AS259" s="156">
        <f t="shared" si="34"/>
        <v>-784162.78010432771</v>
      </c>
      <c r="AT259" s="156">
        <f t="shared" si="34"/>
        <v>853393.30999999994</v>
      </c>
    </row>
    <row r="260" spans="1:46" ht="11.25" hidden="1" outlineLevel="3">
      <c r="A260" s="155" t="s">
        <v>145</v>
      </c>
      <c r="B260" s="155" t="s">
        <v>146</v>
      </c>
      <c r="C260" s="155" t="s">
        <v>133</v>
      </c>
      <c r="D260" s="156" t="s">
        <v>64</v>
      </c>
      <c r="E260" s="156" t="s">
        <v>151</v>
      </c>
      <c r="F260" s="157">
        <v>0</v>
      </c>
      <c r="G260" s="157">
        <v>587628</v>
      </c>
      <c r="H260" s="156">
        <v>39928.79</v>
      </c>
      <c r="I260" s="156">
        <v>285.68</v>
      </c>
      <c r="J260" s="156">
        <v>0</v>
      </c>
      <c r="K260" s="156">
        <v>0</v>
      </c>
      <c r="L260" s="156">
        <v>0</v>
      </c>
      <c r="M260" s="156">
        <v>17158.73</v>
      </c>
      <c r="N260" s="156">
        <f t="shared" ref="N260:N270" si="35">J260+K260+L260+M260</f>
        <v>17158.73</v>
      </c>
      <c r="O260" s="156">
        <v>0</v>
      </c>
      <c r="P260" s="156">
        <v>0</v>
      </c>
      <c r="Q260" s="156">
        <v>775.66</v>
      </c>
      <c r="R260" s="156">
        <v>0</v>
      </c>
      <c r="S260" s="156">
        <v>0</v>
      </c>
      <c r="T260" s="156">
        <v>0</v>
      </c>
      <c r="U260" s="156">
        <v>0</v>
      </c>
      <c r="V260" s="156">
        <v>0</v>
      </c>
      <c r="W260" s="156">
        <v>0</v>
      </c>
      <c r="X260" s="156">
        <v>0</v>
      </c>
      <c r="Y260" s="156">
        <v>0</v>
      </c>
      <c r="Z260" s="156">
        <v>0</v>
      </c>
      <c r="AA260" s="156">
        <v>0</v>
      </c>
      <c r="AB260" s="156">
        <v>0</v>
      </c>
      <c r="AC260" s="156">
        <v>0</v>
      </c>
      <c r="AD260" s="156">
        <v>0</v>
      </c>
      <c r="AE260" s="156">
        <v>0</v>
      </c>
      <c r="AF260" s="156">
        <v>0</v>
      </c>
      <c r="AG260" s="156">
        <v>0</v>
      </c>
      <c r="AH260" s="156">
        <v>0</v>
      </c>
      <c r="AI260" s="156">
        <v>43.16</v>
      </c>
      <c r="AJ260" s="156">
        <v>0</v>
      </c>
      <c r="AK260" s="156">
        <v>0</v>
      </c>
      <c r="AL260" s="156">
        <v>1334.94</v>
      </c>
      <c r="AM260" s="156">
        <v>0</v>
      </c>
      <c r="AN260" s="156">
        <v>0</v>
      </c>
      <c r="AO260" s="156">
        <v>6076.08</v>
      </c>
      <c r="AP260" s="156">
        <v>0</v>
      </c>
      <c r="AQ260" s="156">
        <v>0</v>
      </c>
      <c r="AR260" s="156">
        <v>0</v>
      </c>
      <c r="AS260" s="156">
        <v>0</v>
      </c>
      <c r="AT260" s="156">
        <f t="shared" ref="AT260:AT270" si="36">H260+I260+N260+O260+P260+Q260+T260+X260+Y260+Z260+AA260+AB260+AM260+AO260</f>
        <v>64224.94</v>
      </c>
    </row>
    <row r="261" spans="1:46" ht="11.25" hidden="1" outlineLevel="3">
      <c r="A261" s="155" t="s">
        <v>145</v>
      </c>
      <c r="B261" s="155" t="s">
        <v>147</v>
      </c>
      <c r="C261" s="155" t="s">
        <v>133</v>
      </c>
      <c r="D261" s="156" t="s">
        <v>64</v>
      </c>
      <c r="E261" s="156" t="s">
        <v>151</v>
      </c>
      <c r="F261" s="157">
        <v>0</v>
      </c>
      <c r="G261" s="157">
        <v>126360</v>
      </c>
      <c r="H261" s="156">
        <v>9565.83</v>
      </c>
      <c r="I261" s="156">
        <v>0</v>
      </c>
      <c r="J261" s="156">
        <v>0</v>
      </c>
      <c r="K261" s="156">
        <v>0</v>
      </c>
      <c r="L261" s="156">
        <v>0</v>
      </c>
      <c r="M261" s="156">
        <v>3689.7</v>
      </c>
      <c r="N261" s="156">
        <f t="shared" si="35"/>
        <v>3689.7</v>
      </c>
      <c r="O261" s="156">
        <v>0</v>
      </c>
      <c r="P261" s="156">
        <v>0</v>
      </c>
      <c r="Q261" s="156">
        <v>166.78</v>
      </c>
      <c r="R261" s="156">
        <v>0</v>
      </c>
      <c r="S261" s="156">
        <v>0</v>
      </c>
      <c r="T261" s="156">
        <v>0</v>
      </c>
      <c r="U261" s="156">
        <v>0</v>
      </c>
      <c r="V261" s="156">
        <v>0</v>
      </c>
      <c r="W261" s="156">
        <v>0</v>
      </c>
      <c r="X261" s="156">
        <v>0</v>
      </c>
      <c r="Y261" s="156">
        <v>0</v>
      </c>
      <c r="Z261" s="156">
        <v>0</v>
      </c>
      <c r="AA261" s="156">
        <v>0</v>
      </c>
      <c r="AB261" s="156">
        <v>0</v>
      </c>
      <c r="AC261" s="156">
        <v>0</v>
      </c>
      <c r="AD261" s="156">
        <v>0</v>
      </c>
      <c r="AE261" s="156">
        <v>0</v>
      </c>
      <c r="AF261" s="156">
        <v>0</v>
      </c>
      <c r="AG261" s="156">
        <v>0</v>
      </c>
      <c r="AH261" s="156">
        <v>0</v>
      </c>
      <c r="AI261" s="156">
        <v>66.099999999999994</v>
      </c>
      <c r="AJ261" s="156">
        <v>0</v>
      </c>
      <c r="AK261" s="156">
        <v>0</v>
      </c>
      <c r="AL261" s="156">
        <v>916.07</v>
      </c>
      <c r="AM261" s="156">
        <v>0</v>
      </c>
      <c r="AN261" s="156">
        <v>0</v>
      </c>
      <c r="AO261" s="156">
        <v>1306.56</v>
      </c>
      <c r="AP261" s="156">
        <v>0</v>
      </c>
      <c r="AQ261" s="156">
        <v>0</v>
      </c>
      <c r="AR261" s="156">
        <v>0</v>
      </c>
      <c r="AS261" s="156">
        <v>0</v>
      </c>
      <c r="AT261" s="156">
        <f t="shared" si="36"/>
        <v>14728.869999999999</v>
      </c>
    </row>
    <row r="262" spans="1:46" ht="11.25" hidden="1" outlineLevel="3">
      <c r="A262" s="155" t="s">
        <v>152</v>
      </c>
      <c r="B262" s="155" t="s">
        <v>153</v>
      </c>
      <c r="C262" s="155" t="s">
        <v>133</v>
      </c>
      <c r="D262" s="156" t="s">
        <v>64</v>
      </c>
      <c r="E262" s="156" t="s">
        <v>151</v>
      </c>
      <c r="F262" s="157">
        <v>0</v>
      </c>
      <c r="G262" s="157">
        <v>756581</v>
      </c>
      <c r="H262" s="156">
        <v>72383.92</v>
      </c>
      <c r="I262" s="156">
        <v>249.48</v>
      </c>
      <c r="J262" s="156">
        <v>0</v>
      </c>
      <c r="K262" s="156">
        <v>1160.45</v>
      </c>
      <c r="L262" s="156">
        <v>0</v>
      </c>
      <c r="M262" s="156">
        <v>0</v>
      </c>
      <c r="N262" s="156">
        <f t="shared" si="35"/>
        <v>1160.45</v>
      </c>
      <c r="O262" s="156">
        <v>0</v>
      </c>
      <c r="P262" s="156">
        <v>0</v>
      </c>
      <c r="Q262" s="156">
        <v>0</v>
      </c>
      <c r="R262" s="156">
        <v>0</v>
      </c>
      <c r="S262" s="156">
        <v>0</v>
      </c>
      <c r="T262" s="156">
        <v>0</v>
      </c>
      <c r="U262" s="156">
        <v>0</v>
      </c>
      <c r="V262" s="156">
        <v>0</v>
      </c>
      <c r="W262" s="156">
        <v>0</v>
      </c>
      <c r="X262" s="156">
        <v>0</v>
      </c>
      <c r="Y262" s="156">
        <v>0</v>
      </c>
      <c r="Z262" s="156">
        <v>537.16</v>
      </c>
      <c r="AA262" s="156">
        <v>0</v>
      </c>
      <c r="AB262" s="156">
        <v>0</v>
      </c>
      <c r="AC262" s="156">
        <v>0</v>
      </c>
      <c r="AD262" s="156">
        <v>0</v>
      </c>
      <c r="AE262" s="156">
        <v>0</v>
      </c>
      <c r="AF262" s="156">
        <v>0</v>
      </c>
      <c r="AG262" s="156">
        <v>0</v>
      </c>
      <c r="AH262" s="156">
        <v>0</v>
      </c>
      <c r="AI262" s="156">
        <v>498.42</v>
      </c>
      <c r="AJ262" s="156">
        <v>0</v>
      </c>
      <c r="AK262" s="156">
        <v>0</v>
      </c>
      <c r="AL262" s="156">
        <v>2775.81</v>
      </c>
      <c r="AM262" s="156">
        <v>-3086.85</v>
      </c>
      <c r="AN262" s="156">
        <v>0</v>
      </c>
      <c r="AO262" s="156">
        <v>0</v>
      </c>
      <c r="AP262" s="156">
        <v>0</v>
      </c>
      <c r="AQ262" s="156">
        <v>0</v>
      </c>
      <c r="AR262" s="156">
        <v>0</v>
      </c>
      <c r="AS262" s="156">
        <v>0</v>
      </c>
      <c r="AT262" s="156">
        <f t="shared" si="36"/>
        <v>71244.159999999989</v>
      </c>
    </row>
    <row r="263" spans="1:46" ht="11.25" hidden="1" outlineLevel="3">
      <c r="A263" s="155" t="s">
        <v>152</v>
      </c>
      <c r="B263" s="155" t="s">
        <v>154</v>
      </c>
      <c r="C263" s="155" t="s">
        <v>133</v>
      </c>
      <c r="D263" s="156" t="s">
        <v>64</v>
      </c>
      <c r="E263" s="156" t="s">
        <v>151</v>
      </c>
      <c r="F263" s="157">
        <v>0</v>
      </c>
      <c r="G263" s="157">
        <v>3271781</v>
      </c>
      <c r="H263" s="156">
        <v>323209.71000000002</v>
      </c>
      <c r="I263" s="156">
        <v>1869.71</v>
      </c>
      <c r="J263" s="156">
        <v>0</v>
      </c>
      <c r="K263" s="156">
        <v>6199.31</v>
      </c>
      <c r="L263" s="156">
        <v>0</v>
      </c>
      <c r="M263" s="156">
        <v>0</v>
      </c>
      <c r="N263" s="156">
        <f t="shared" si="35"/>
        <v>6199.31</v>
      </c>
      <c r="O263" s="156">
        <v>0</v>
      </c>
      <c r="P263" s="156">
        <v>0</v>
      </c>
      <c r="Q263" s="156">
        <v>0</v>
      </c>
      <c r="R263" s="156">
        <v>0</v>
      </c>
      <c r="S263" s="156">
        <v>0</v>
      </c>
      <c r="T263" s="156">
        <v>0</v>
      </c>
      <c r="U263" s="156">
        <v>0</v>
      </c>
      <c r="V263" s="156">
        <v>0</v>
      </c>
      <c r="W263" s="156">
        <v>0</v>
      </c>
      <c r="X263" s="156">
        <v>0</v>
      </c>
      <c r="Y263" s="156">
        <v>0</v>
      </c>
      <c r="Z263" s="156">
        <v>2284.48</v>
      </c>
      <c r="AA263" s="156">
        <v>0</v>
      </c>
      <c r="AB263" s="156">
        <v>0</v>
      </c>
      <c r="AC263" s="156">
        <v>0</v>
      </c>
      <c r="AD263" s="156">
        <v>0</v>
      </c>
      <c r="AE263" s="156">
        <v>0</v>
      </c>
      <c r="AF263" s="156">
        <v>0</v>
      </c>
      <c r="AG263" s="156">
        <v>0</v>
      </c>
      <c r="AH263" s="156">
        <v>0</v>
      </c>
      <c r="AI263" s="156">
        <v>1264.42</v>
      </c>
      <c r="AJ263" s="156">
        <v>0</v>
      </c>
      <c r="AK263" s="156">
        <v>0</v>
      </c>
      <c r="AL263" s="156">
        <v>11810.14</v>
      </c>
      <c r="AM263" s="156">
        <v>-13348.85</v>
      </c>
      <c r="AN263" s="156">
        <v>0</v>
      </c>
      <c r="AO263" s="156">
        <v>0</v>
      </c>
      <c r="AP263" s="156">
        <v>0</v>
      </c>
      <c r="AQ263" s="156">
        <v>0</v>
      </c>
      <c r="AR263" s="156">
        <v>-7.49</v>
      </c>
      <c r="AS263" s="156">
        <v>-1920.5128205128201</v>
      </c>
      <c r="AT263" s="156">
        <f t="shared" si="36"/>
        <v>320214.36000000004</v>
      </c>
    </row>
    <row r="264" spans="1:46" ht="11.25" hidden="1" outlineLevel="3">
      <c r="A264" s="155" t="s">
        <v>152</v>
      </c>
      <c r="B264" s="155" t="s">
        <v>155</v>
      </c>
      <c r="C264" s="155" t="s">
        <v>133</v>
      </c>
      <c r="D264" s="156" t="s">
        <v>64</v>
      </c>
      <c r="E264" s="156" t="s">
        <v>151</v>
      </c>
      <c r="F264" s="157">
        <v>0</v>
      </c>
      <c r="G264" s="157">
        <v>17981998</v>
      </c>
      <c r="H264" s="156">
        <v>1760488.83</v>
      </c>
      <c r="I264" s="156">
        <v>24018.27</v>
      </c>
      <c r="J264" s="156">
        <v>0</v>
      </c>
      <c r="K264" s="156">
        <v>28776.43</v>
      </c>
      <c r="L264" s="156">
        <v>0</v>
      </c>
      <c r="M264" s="156">
        <v>0</v>
      </c>
      <c r="N264" s="156">
        <f t="shared" si="35"/>
        <v>28776.43</v>
      </c>
      <c r="O264" s="156">
        <v>0</v>
      </c>
      <c r="P264" s="156">
        <v>0</v>
      </c>
      <c r="Q264" s="156">
        <v>0</v>
      </c>
      <c r="R264" s="156">
        <v>0</v>
      </c>
      <c r="S264" s="156">
        <v>0</v>
      </c>
      <c r="T264" s="156">
        <v>940.24</v>
      </c>
      <c r="U264" s="156">
        <v>0</v>
      </c>
      <c r="V264" s="156">
        <v>0</v>
      </c>
      <c r="W264" s="156">
        <v>0</v>
      </c>
      <c r="X264" s="156">
        <v>0</v>
      </c>
      <c r="Y264" s="156">
        <v>0</v>
      </c>
      <c r="Z264" s="156">
        <v>12194.26</v>
      </c>
      <c r="AA264" s="156">
        <v>0</v>
      </c>
      <c r="AB264" s="156">
        <v>0</v>
      </c>
      <c r="AC264" s="156">
        <v>0</v>
      </c>
      <c r="AD264" s="156">
        <v>0</v>
      </c>
      <c r="AE264" s="156">
        <v>0</v>
      </c>
      <c r="AF264" s="156">
        <v>0</v>
      </c>
      <c r="AG264" s="156">
        <v>0</v>
      </c>
      <c r="AH264" s="156">
        <v>0</v>
      </c>
      <c r="AI264" s="156">
        <v>16161.99</v>
      </c>
      <c r="AJ264" s="156">
        <v>0</v>
      </c>
      <c r="AK264" s="156">
        <v>-393.6</v>
      </c>
      <c r="AL264" s="156">
        <v>99740.2</v>
      </c>
      <c r="AM264" s="156">
        <v>-73366.47</v>
      </c>
      <c r="AN264" s="156">
        <v>0</v>
      </c>
      <c r="AO264" s="156">
        <v>0</v>
      </c>
      <c r="AP264" s="156">
        <v>0</v>
      </c>
      <c r="AQ264" s="156">
        <v>0</v>
      </c>
      <c r="AR264" s="156">
        <v>0</v>
      </c>
      <c r="AS264" s="156">
        <v>0</v>
      </c>
      <c r="AT264" s="156">
        <f t="shared" si="36"/>
        <v>1753051.56</v>
      </c>
    </row>
    <row r="265" spans="1:46" ht="11.25" hidden="1" outlineLevel="3">
      <c r="A265" s="155" t="s">
        <v>152</v>
      </c>
      <c r="B265" s="155" t="s">
        <v>157</v>
      </c>
      <c r="C265" s="155" t="s">
        <v>133</v>
      </c>
      <c r="D265" s="156" t="s">
        <v>64</v>
      </c>
      <c r="E265" s="156" t="s">
        <v>151</v>
      </c>
      <c r="F265" s="157">
        <v>0</v>
      </c>
      <c r="G265" s="157">
        <v>3441888</v>
      </c>
      <c r="H265" s="156">
        <v>326700.57</v>
      </c>
      <c r="I265" s="156">
        <v>6393.58</v>
      </c>
      <c r="J265" s="156">
        <v>0</v>
      </c>
      <c r="K265" s="156">
        <v>4216.2299999999996</v>
      </c>
      <c r="L265" s="156">
        <v>0</v>
      </c>
      <c r="M265" s="156">
        <v>0</v>
      </c>
      <c r="N265" s="156">
        <f t="shared" si="35"/>
        <v>4216.2299999999996</v>
      </c>
      <c r="O265" s="156">
        <v>0</v>
      </c>
      <c r="P265" s="156">
        <v>0</v>
      </c>
      <c r="Q265" s="156">
        <v>0</v>
      </c>
      <c r="R265" s="156">
        <v>0</v>
      </c>
      <c r="S265" s="156">
        <v>0</v>
      </c>
      <c r="T265" s="156">
        <v>0</v>
      </c>
      <c r="U265" s="156">
        <v>0</v>
      </c>
      <c r="V265" s="156">
        <v>0</v>
      </c>
      <c r="W265" s="156">
        <v>0</v>
      </c>
      <c r="X265" s="156">
        <v>0</v>
      </c>
      <c r="Y265" s="156">
        <v>0</v>
      </c>
      <c r="Z265" s="156">
        <v>2163.38</v>
      </c>
      <c r="AA265" s="156">
        <v>0</v>
      </c>
      <c r="AB265" s="156">
        <v>0</v>
      </c>
      <c r="AC265" s="156">
        <v>0</v>
      </c>
      <c r="AD265" s="156">
        <v>0</v>
      </c>
      <c r="AE265" s="156">
        <v>0</v>
      </c>
      <c r="AF265" s="156">
        <v>0</v>
      </c>
      <c r="AG265" s="156">
        <v>0</v>
      </c>
      <c r="AH265" s="156">
        <v>0</v>
      </c>
      <c r="AI265" s="156">
        <v>2245.88</v>
      </c>
      <c r="AJ265" s="156">
        <v>0</v>
      </c>
      <c r="AK265" s="156">
        <v>0</v>
      </c>
      <c r="AL265" s="156">
        <v>16577.03</v>
      </c>
      <c r="AM265" s="156">
        <v>-14042.93</v>
      </c>
      <c r="AN265" s="156">
        <v>0</v>
      </c>
      <c r="AO265" s="156">
        <v>0</v>
      </c>
      <c r="AP265" s="156">
        <v>0</v>
      </c>
      <c r="AQ265" s="156">
        <v>0</v>
      </c>
      <c r="AR265" s="156">
        <v>0</v>
      </c>
      <c r="AS265" s="156">
        <v>0</v>
      </c>
      <c r="AT265" s="156">
        <f t="shared" si="36"/>
        <v>325430.83</v>
      </c>
    </row>
    <row r="266" spans="1:46" ht="11.25" hidden="1" outlineLevel="3">
      <c r="A266" s="155" t="s">
        <v>152</v>
      </c>
      <c r="B266" s="155" t="s">
        <v>137</v>
      </c>
      <c r="C266" s="155" t="s">
        <v>133</v>
      </c>
      <c r="D266" s="156" t="s">
        <v>64</v>
      </c>
      <c r="E266" s="156" t="s">
        <v>151</v>
      </c>
      <c r="F266" s="157">
        <v>0</v>
      </c>
      <c r="G266" s="157">
        <v>1130867</v>
      </c>
      <c r="H266" s="156">
        <v>110116.53</v>
      </c>
      <c r="I266" s="156">
        <v>0</v>
      </c>
      <c r="J266" s="156">
        <v>0</v>
      </c>
      <c r="K266" s="156">
        <v>1662.46</v>
      </c>
      <c r="L266" s="156">
        <v>0</v>
      </c>
      <c r="M266" s="156">
        <v>0</v>
      </c>
      <c r="N266" s="156">
        <f t="shared" si="35"/>
        <v>1662.46</v>
      </c>
      <c r="O266" s="156">
        <v>0</v>
      </c>
      <c r="P266" s="156">
        <v>0</v>
      </c>
      <c r="Q266" s="156">
        <v>0</v>
      </c>
      <c r="R266" s="156">
        <v>0</v>
      </c>
      <c r="S266" s="156">
        <v>0</v>
      </c>
      <c r="T266" s="156">
        <v>192.52</v>
      </c>
      <c r="U266" s="156">
        <v>0</v>
      </c>
      <c r="V266" s="156">
        <v>0</v>
      </c>
      <c r="W266" s="156">
        <v>0</v>
      </c>
      <c r="X266" s="156">
        <v>0</v>
      </c>
      <c r="Y266" s="156">
        <v>0</v>
      </c>
      <c r="Z266" s="156">
        <v>802.93</v>
      </c>
      <c r="AA266" s="156">
        <v>0</v>
      </c>
      <c r="AB266" s="156">
        <v>0</v>
      </c>
      <c r="AC266" s="156">
        <v>0</v>
      </c>
      <c r="AD266" s="156">
        <v>0</v>
      </c>
      <c r="AE266" s="156">
        <v>0</v>
      </c>
      <c r="AF266" s="156">
        <v>0</v>
      </c>
      <c r="AG266" s="156">
        <v>0</v>
      </c>
      <c r="AH266" s="156">
        <v>0</v>
      </c>
      <c r="AI266" s="156">
        <v>531.33000000000004</v>
      </c>
      <c r="AJ266" s="156">
        <v>0</v>
      </c>
      <c r="AK266" s="156">
        <v>0</v>
      </c>
      <c r="AL266" s="156">
        <v>2816.58</v>
      </c>
      <c r="AM266" s="156">
        <v>-4613.92</v>
      </c>
      <c r="AN266" s="156">
        <v>0</v>
      </c>
      <c r="AO266" s="156">
        <v>0</v>
      </c>
      <c r="AP266" s="156">
        <v>0</v>
      </c>
      <c r="AQ266" s="156">
        <v>0</v>
      </c>
      <c r="AR266" s="156">
        <v>-2034.24</v>
      </c>
      <c r="AS266" s="156">
        <v>-272343.839541547</v>
      </c>
      <c r="AT266" s="156">
        <f t="shared" si="36"/>
        <v>108160.52</v>
      </c>
    </row>
    <row r="267" spans="1:46" ht="11.25" hidden="1" outlineLevel="3">
      <c r="A267" s="155" t="s">
        <v>152</v>
      </c>
      <c r="B267" s="155" t="s">
        <v>158</v>
      </c>
      <c r="C267" s="155" t="s">
        <v>133</v>
      </c>
      <c r="D267" s="156" t="s">
        <v>64</v>
      </c>
      <c r="E267" s="156" t="s">
        <v>151</v>
      </c>
      <c r="F267" s="157">
        <v>0</v>
      </c>
      <c r="G267" s="157">
        <v>1437026</v>
      </c>
      <c r="H267" s="156">
        <v>136823.85</v>
      </c>
      <c r="I267" s="156">
        <v>1772.15</v>
      </c>
      <c r="J267" s="156">
        <v>0</v>
      </c>
      <c r="K267" s="156">
        <v>1062.54</v>
      </c>
      <c r="L267" s="156">
        <v>0</v>
      </c>
      <c r="M267" s="156">
        <v>0</v>
      </c>
      <c r="N267" s="156">
        <f t="shared" si="35"/>
        <v>1062.54</v>
      </c>
      <c r="O267" s="156">
        <v>0</v>
      </c>
      <c r="P267" s="156">
        <v>0</v>
      </c>
      <c r="Q267" s="156">
        <v>0</v>
      </c>
      <c r="R267" s="156">
        <v>0</v>
      </c>
      <c r="S267" s="156">
        <v>0</v>
      </c>
      <c r="T267" s="156">
        <v>0</v>
      </c>
      <c r="U267" s="156">
        <v>0</v>
      </c>
      <c r="V267" s="156">
        <v>0</v>
      </c>
      <c r="W267" s="156">
        <v>0</v>
      </c>
      <c r="X267" s="156">
        <v>0</v>
      </c>
      <c r="Y267" s="156">
        <v>0</v>
      </c>
      <c r="Z267" s="156">
        <v>1020.27</v>
      </c>
      <c r="AA267" s="156">
        <v>0</v>
      </c>
      <c r="AB267" s="156">
        <v>0</v>
      </c>
      <c r="AC267" s="156">
        <v>0</v>
      </c>
      <c r="AD267" s="156">
        <v>0</v>
      </c>
      <c r="AE267" s="156">
        <v>0</v>
      </c>
      <c r="AF267" s="156">
        <v>0</v>
      </c>
      <c r="AG267" s="156">
        <v>0</v>
      </c>
      <c r="AH267" s="156">
        <v>0</v>
      </c>
      <c r="AI267" s="156">
        <v>1383.03</v>
      </c>
      <c r="AJ267" s="156">
        <v>0</v>
      </c>
      <c r="AK267" s="156">
        <v>0</v>
      </c>
      <c r="AL267" s="156">
        <v>3880.25</v>
      </c>
      <c r="AM267" s="156">
        <v>-5863.05</v>
      </c>
      <c r="AN267" s="156">
        <v>0</v>
      </c>
      <c r="AO267" s="156">
        <v>0</v>
      </c>
      <c r="AP267" s="156">
        <v>0</v>
      </c>
      <c r="AQ267" s="156">
        <v>0</v>
      </c>
      <c r="AR267" s="156">
        <v>0</v>
      </c>
      <c r="AS267" s="156">
        <v>0</v>
      </c>
      <c r="AT267" s="156">
        <f t="shared" si="36"/>
        <v>134815.76</v>
      </c>
    </row>
    <row r="268" spans="1:46" ht="11.25" hidden="1" outlineLevel="3">
      <c r="A268" s="155" t="s">
        <v>152</v>
      </c>
      <c r="B268" s="155" t="s">
        <v>159</v>
      </c>
      <c r="C268" s="155" t="s">
        <v>133</v>
      </c>
      <c r="D268" s="156" t="s">
        <v>64</v>
      </c>
      <c r="E268" s="156" t="s">
        <v>151</v>
      </c>
      <c r="F268" s="157">
        <v>0</v>
      </c>
      <c r="G268" s="157">
        <v>45040</v>
      </c>
      <c r="H268" s="156">
        <v>4541.18</v>
      </c>
      <c r="I268" s="156">
        <v>0</v>
      </c>
      <c r="J268" s="156">
        <v>0</v>
      </c>
      <c r="K268" s="156">
        <v>144.26</v>
      </c>
      <c r="L268" s="156">
        <v>0</v>
      </c>
      <c r="M268" s="156">
        <v>0</v>
      </c>
      <c r="N268" s="156">
        <f t="shared" si="35"/>
        <v>144.26</v>
      </c>
      <c r="O268" s="156">
        <v>0</v>
      </c>
      <c r="P268" s="156">
        <v>0</v>
      </c>
      <c r="Q268" s="156">
        <v>0</v>
      </c>
      <c r="R268" s="156">
        <v>0</v>
      </c>
      <c r="S268" s="156">
        <v>0</v>
      </c>
      <c r="T268" s="156">
        <v>0</v>
      </c>
      <c r="U268" s="156">
        <v>0</v>
      </c>
      <c r="V268" s="156">
        <v>0</v>
      </c>
      <c r="W268" s="156">
        <v>0</v>
      </c>
      <c r="X268" s="156">
        <v>0</v>
      </c>
      <c r="Y268" s="156">
        <v>0</v>
      </c>
      <c r="Z268" s="156">
        <v>31.97</v>
      </c>
      <c r="AA268" s="156">
        <v>0</v>
      </c>
      <c r="AB268" s="156">
        <v>0</v>
      </c>
      <c r="AC268" s="156">
        <v>0</v>
      </c>
      <c r="AD268" s="156">
        <v>0</v>
      </c>
      <c r="AE268" s="156">
        <v>0</v>
      </c>
      <c r="AF268" s="156">
        <v>0</v>
      </c>
      <c r="AG268" s="156">
        <v>0</v>
      </c>
      <c r="AH268" s="156">
        <v>0</v>
      </c>
      <c r="AI268" s="156">
        <v>302.97000000000003</v>
      </c>
      <c r="AJ268" s="156">
        <v>0</v>
      </c>
      <c r="AK268" s="156">
        <v>0</v>
      </c>
      <c r="AL268" s="156">
        <v>352.15</v>
      </c>
      <c r="AM268" s="156">
        <v>-183.76</v>
      </c>
      <c r="AN268" s="156">
        <v>0</v>
      </c>
      <c r="AO268" s="156">
        <v>0</v>
      </c>
      <c r="AP268" s="156">
        <v>0</v>
      </c>
      <c r="AQ268" s="156">
        <v>0</v>
      </c>
      <c r="AR268" s="156">
        <v>0</v>
      </c>
      <c r="AS268" s="156">
        <v>0</v>
      </c>
      <c r="AT268" s="156">
        <f t="shared" si="36"/>
        <v>4533.6500000000005</v>
      </c>
    </row>
    <row r="269" spans="1:46" ht="11.25" hidden="1" outlineLevel="3">
      <c r="A269" s="155" t="s">
        <v>152</v>
      </c>
      <c r="B269" s="155" t="s">
        <v>160</v>
      </c>
      <c r="C269" s="155" t="s">
        <v>133</v>
      </c>
      <c r="D269" s="156" t="s">
        <v>64</v>
      </c>
      <c r="E269" s="156" t="s">
        <v>151</v>
      </c>
      <c r="F269" s="157">
        <v>0</v>
      </c>
      <c r="G269" s="157">
        <v>1027078</v>
      </c>
      <c r="H269" s="156">
        <v>102033.57</v>
      </c>
      <c r="I269" s="156">
        <v>160</v>
      </c>
      <c r="J269" s="156">
        <v>0</v>
      </c>
      <c r="K269" s="156">
        <v>2181.4299999999998</v>
      </c>
      <c r="L269" s="156">
        <v>0</v>
      </c>
      <c r="M269" s="156">
        <v>0</v>
      </c>
      <c r="N269" s="156">
        <f t="shared" si="35"/>
        <v>2181.4299999999998</v>
      </c>
      <c r="O269" s="156">
        <v>0</v>
      </c>
      <c r="P269" s="156">
        <v>0</v>
      </c>
      <c r="Q269" s="156">
        <v>0</v>
      </c>
      <c r="R269" s="156">
        <v>0</v>
      </c>
      <c r="S269" s="156">
        <v>0</v>
      </c>
      <c r="T269" s="156">
        <v>0</v>
      </c>
      <c r="U269" s="156">
        <v>0</v>
      </c>
      <c r="V269" s="156">
        <v>0</v>
      </c>
      <c r="W269" s="156">
        <v>0</v>
      </c>
      <c r="X269" s="156">
        <v>0</v>
      </c>
      <c r="Y269" s="156">
        <v>0</v>
      </c>
      <c r="Z269" s="156">
        <v>729.24</v>
      </c>
      <c r="AA269" s="156">
        <v>0</v>
      </c>
      <c r="AB269" s="156">
        <v>0</v>
      </c>
      <c r="AC269" s="156">
        <v>0</v>
      </c>
      <c r="AD269" s="156">
        <v>0</v>
      </c>
      <c r="AE269" s="156">
        <v>0</v>
      </c>
      <c r="AF269" s="156">
        <v>0</v>
      </c>
      <c r="AG269" s="156">
        <v>0</v>
      </c>
      <c r="AH269" s="156">
        <v>0</v>
      </c>
      <c r="AI269" s="156">
        <v>897.89</v>
      </c>
      <c r="AJ269" s="156">
        <v>0</v>
      </c>
      <c r="AK269" s="156">
        <v>0</v>
      </c>
      <c r="AL269" s="156">
        <v>5022.95</v>
      </c>
      <c r="AM269" s="156">
        <v>-4190.5</v>
      </c>
      <c r="AN269" s="156">
        <v>0</v>
      </c>
      <c r="AO269" s="156">
        <v>0</v>
      </c>
      <c r="AP269" s="156">
        <v>0</v>
      </c>
      <c r="AQ269" s="156">
        <v>0</v>
      </c>
      <c r="AR269" s="156">
        <v>-3384.69</v>
      </c>
      <c r="AS269" s="156">
        <v>-775860.171919771</v>
      </c>
      <c r="AT269" s="156">
        <f t="shared" si="36"/>
        <v>100913.74</v>
      </c>
    </row>
    <row r="270" spans="1:46" ht="11.25" hidden="1" outlineLevel="3">
      <c r="A270" s="155" t="s">
        <v>167</v>
      </c>
      <c r="B270" s="155" t="s">
        <v>146</v>
      </c>
      <c r="C270" s="155" t="s">
        <v>133</v>
      </c>
      <c r="D270" s="156" t="s">
        <v>64</v>
      </c>
      <c r="E270" s="156" t="s">
        <v>151</v>
      </c>
      <c r="F270" s="157">
        <v>0</v>
      </c>
      <c r="G270" s="157">
        <v>251513</v>
      </c>
      <c r="H270" s="156">
        <v>17016.189999999999</v>
      </c>
      <c r="I270" s="156">
        <v>0</v>
      </c>
      <c r="J270" s="156">
        <v>6908.56</v>
      </c>
      <c r="K270" s="156">
        <v>0</v>
      </c>
      <c r="L270" s="156">
        <v>0</v>
      </c>
      <c r="M270" s="156">
        <v>0</v>
      </c>
      <c r="N270" s="156">
        <f t="shared" si="35"/>
        <v>6908.56</v>
      </c>
      <c r="O270" s="156">
        <v>0</v>
      </c>
      <c r="P270" s="156">
        <v>0</v>
      </c>
      <c r="Q270" s="156">
        <v>0</v>
      </c>
      <c r="R270" s="156">
        <v>0</v>
      </c>
      <c r="S270" s="156">
        <v>0</v>
      </c>
      <c r="T270" s="156">
        <v>0</v>
      </c>
      <c r="U270" s="156">
        <v>0</v>
      </c>
      <c r="V270" s="156">
        <v>0</v>
      </c>
      <c r="W270" s="156">
        <v>0</v>
      </c>
      <c r="X270" s="156">
        <v>301.81</v>
      </c>
      <c r="Y270" s="156">
        <v>0</v>
      </c>
      <c r="Z270" s="156">
        <v>0</v>
      </c>
      <c r="AA270" s="156">
        <v>0</v>
      </c>
      <c r="AB270" s="156">
        <v>0</v>
      </c>
      <c r="AC270" s="156">
        <v>0</v>
      </c>
      <c r="AD270" s="156">
        <v>0</v>
      </c>
      <c r="AE270" s="156">
        <v>0</v>
      </c>
      <c r="AF270" s="156">
        <v>0</v>
      </c>
      <c r="AG270" s="156">
        <v>0</v>
      </c>
      <c r="AH270" s="156">
        <v>0</v>
      </c>
      <c r="AI270" s="156">
        <v>56.12</v>
      </c>
      <c r="AJ270" s="156">
        <v>0</v>
      </c>
      <c r="AK270" s="156">
        <v>0</v>
      </c>
      <c r="AL270" s="156">
        <v>350.99</v>
      </c>
      <c r="AM270" s="156">
        <v>-1239.97</v>
      </c>
      <c r="AN270" s="156">
        <v>0</v>
      </c>
      <c r="AO270" s="156">
        <v>0</v>
      </c>
      <c r="AP270" s="156">
        <v>0</v>
      </c>
      <c r="AQ270" s="156">
        <v>0</v>
      </c>
      <c r="AR270" s="156">
        <v>0</v>
      </c>
      <c r="AS270" s="156">
        <v>0</v>
      </c>
      <c r="AT270" s="156">
        <f t="shared" si="36"/>
        <v>22986.59</v>
      </c>
    </row>
    <row r="271" spans="1:46" ht="11.25" outlineLevel="2" collapsed="1">
      <c r="D271" s="156"/>
      <c r="E271" s="156" t="s">
        <v>227</v>
      </c>
      <c r="F271" s="157">
        <v>968</v>
      </c>
      <c r="G271" s="157">
        <f t="shared" ref="G271:AT271" si="37">SUBTOTAL(9,G260:G270)</f>
        <v>30057760</v>
      </c>
      <c r="H271" s="156">
        <f t="shared" si="37"/>
        <v>2902808.9699999997</v>
      </c>
      <c r="I271" s="156">
        <f t="shared" si="37"/>
        <v>34748.870000000003</v>
      </c>
      <c r="J271" s="156">
        <f t="shared" si="37"/>
        <v>6908.56</v>
      </c>
      <c r="K271" s="156">
        <f t="shared" si="37"/>
        <v>45403.11</v>
      </c>
      <c r="L271" s="156">
        <f t="shared" si="37"/>
        <v>0</v>
      </c>
      <c r="M271" s="156">
        <f t="shared" si="37"/>
        <v>20848.43</v>
      </c>
      <c r="N271" s="156">
        <f t="shared" si="37"/>
        <v>73160.100000000006</v>
      </c>
      <c r="O271" s="156">
        <f t="shared" si="37"/>
        <v>0</v>
      </c>
      <c r="P271" s="156">
        <f t="shared" si="37"/>
        <v>0</v>
      </c>
      <c r="Q271" s="156">
        <f t="shared" si="37"/>
        <v>942.43999999999994</v>
      </c>
      <c r="R271" s="156">
        <f t="shared" si="37"/>
        <v>0</v>
      </c>
      <c r="S271" s="156">
        <f t="shared" si="37"/>
        <v>0</v>
      </c>
      <c r="T271" s="156">
        <f t="shared" si="37"/>
        <v>1132.76</v>
      </c>
      <c r="U271" s="156">
        <f t="shared" si="37"/>
        <v>0</v>
      </c>
      <c r="V271" s="156">
        <f t="shared" si="37"/>
        <v>0</v>
      </c>
      <c r="W271" s="156">
        <f t="shared" si="37"/>
        <v>0</v>
      </c>
      <c r="X271" s="156">
        <f t="shared" si="37"/>
        <v>301.81</v>
      </c>
      <c r="Y271" s="156">
        <f t="shared" si="37"/>
        <v>0</v>
      </c>
      <c r="Z271" s="156">
        <f t="shared" si="37"/>
        <v>19763.690000000002</v>
      </c>
      <c r="AA271" s="156">
        <f t="shared" si="37"/>
        <v>0</v>
      </c>
      <c r="AB271" s="156">
        <f t="shared" si="37"/>
        <v>0</v>
      </c>
      <c r="AC271" s="156">
        <f t="shared" si="37"/>
        <v>0</v>
      </c>
      <c r="AD271" s="156">
        <f t="shared" si="37"/>
        <v>0</v>
      </c>
      <c r="AE271" s="156">
        <f t="shared" si="37"/>
        <v>0</v>
      </c>
      <c r="AF271" s="156">
        <f t="shared" si="37"/>
        <v>0</v>
      </c>
      <c r="AG271" s="156">
        <f t="shared" si="37"/>
        <v>0</v>
      </c>
      <c r="AH271" s="156">
        <f t="shared" si="37"/>
        <v>0</v>
      </c>
      <c r="AI271" s="156">
        <f t="shared" si="37"/>
        <v>23451.31</v>
      </c>
      <c r="AJ271" s="156">
        <f t="shared" si="37"/>
        <v>0</v>
      </c>
      <c r="AK271" s="156">
        <f t="shared" si="37"/>
        <v>-393.6</v>
      </c>
      <c r="AL271" s="156">
        <f t="shared" si="37"/>
        <v>145577.10999999999</v>
      </c>
      <c r="AM271" s="156">
        <f t="shared" si="37"/>
        <v>-119936.3</v>
      </c>
      <c r="AN271" s="156">
        <f t="shared" si="37"/>
        <v>0</v>
      </c>
      <c r="AO271" s="156">
        <f t="shared" si="37"/>
        <v>7382.6399999999994</v>
      </c>
      <c r="AP271" s="156">
        <f t="shared" si="37"/>
        <v>0</v>
      </c>
      <c r="AQ271" s="156">
        <f t="shared" si="37"/>
        <v>0</v>
      </c>
      <c r="AR271" s="156">
        <f t="shared" si="37"/>
        <v>-5426.42</v>
      </c>
      <c r="AS271" s="156">
        <f t="shared" si="37"/>
        <v>-1050124.5242818308</v>
      </c>
      <c r="AT271" s="156">
        <f t="shared" si="37"/>
        <v>2920304.98</v>
      </c>
    </row>
    <row r="272" spans="1:46" ht="11.25" outlineLevel="1">
      <c r="D272" s="159" t="s">
        <v>228</v>
      </c>
      <c r="E272" s="159"/>
      <c r="F272" s="160">
        <f>F194+F208+F212+F222+F224+F226+F229+F245+F247+F259+F271</f>
        <v>24966</v>
      </c>
      <c r="G272" s="160">
        <f t="shared" ref="G272:AT272" si="38">SUBTOTAL(9,G144:G270)</f>
        <v>129748166</v>
      </c>
      <c r="H272" s="159">
        <f t="shared" si="38"/>
        <v>13393773.620000003</v>
      </c>
      <c r="I272" s="159">
        <f t="shared" si="38"/>
        <v>228006.56999999998</v>
      </c>
      <c r="J272" s="159">
        <f t="shared" si="38"/>
        <v>117854.87</v>
      </c>
      <c r="K272" s="159">
        <f t="shared" si="38"/>
        <v>183916.77000000002</v>
      </c>
      <c r="L272" s="159">
        <f t="shared" si="38"/>
        <v>70316.59</v>
      </c>
      <c r="M272" s="159">
        <f t="shared" si="38"/>
        <v>113405.70999999999</v>
      </c>
      <c r="N272" s="159">
        <f t="shared" si="38"/>
        <v>485493.94</v>
      </c>
      <c r="O272" s="159">
        <f t="shared" si="38"/>
        <v>7883.0500000000011</v>
      </c>
      <c r="P272" s="159">
        <f t="shared" si="38"/>
        <v>9250.89</v>
      </c>
      <c r="Q272" s="159">
        <f t="shared" si="38"/>
        <v>5128.93</v>
      </c>
      <c r="R272" s="159">
        <f t="shared" si="38"/>
        <v>0</v>
      </c>
      <c r="S272" s="159">
        <f t="shared" si="38"/>
        <v>0</v>
      </c>
      <c r="T272" s="159">
        <f t="shared" si="38"/>
        <v>54821.83</v>
      </c>
      <c r="U272" s="159">
        <f t="shared" si="38"/>
        <v>0</v>
      </c>
      <c r="V272" s="159">
        <f t="shared" si="38"/>
        <v>0</v>
      </c>
      <c r="W272" s="159">
        <f t="shared" si="38"/>
        <v>0</v>
      </c>
      <c r="X272" s="159">
        <f t="shared" si="38"/>
        <v>1311.27</v>
      </c>
      <c r="Y272" s="159">
        <f t="shared" si="38"/>
        <v>4811.8499999999995</v>
      </c>
      <c r="Z272" s="159">
        <f t="shared" si="38"/>
        <v>77021.310000000027</v>
      </c>
      <c r="AA272" s="159">
        <f t="shared" si="38"/>
        <v>5962.66</v>
      </c>
      <c r="AB272" s="159">
        <f t="shared" si="38"/>
        <v>-25.88</v>
      </c>
      <c r="AC272" s="159">
        <f t="shared" si="38"/>
        <v>0</v>
      </c>
      <c r="AD272" s="159">
        <f t="shared" si="38"/>
        <v>0</v>
      </c>
      <c r="AE272" s="159">
        <f t="shared" si="38"/>
        <v>0</v>
      </c>
      <c r="AF272" s="159">
        <f t="shared" si="38"/>
        <v>0</v>
      </c>
      <c r="AG272" s="159">
        <f t="shared" si="38"/>
        <v>0</v>
      </c>
      <c r="AH272" s="159">
        <f t="shared" si="38"/>
        <v>0</v>
      </c>
      <c r="AI272" s="159">
        <f t="shared" si="38"/>
        <v>118283.01000000001</v>
      </c>
      <c r="AJ272" s="159">
        <f t="shared" si="38"/>
        <v>320</v>
      </c>
      <c r="AK272" s="159">
        <f t="shared" si="38"/>
        <v>-1873.37</v>
      </c>
      <c r="AL272" s="159">
        <f t="shared" si="38"/>
        <v>691410.99999999977</v>
      </c>
      <c r="AM272" s="159">
        <f t="shared" si="38"/>
        <v>-560197.99</v>
      </c>
      <c r="AN272" s="159">
        <f t="shared" si="38"/>
        <v>0</v>
      </c>
      <c r="AO272" s="159">
        <f t="shared" si="38"/>
        <v>40091.33</v>
      </c>
      <c r="AP272" s="159">
        <f t="shared" si="38"/>
        <v>0</v>
      </c>
      <c r="AQ272" s="159">
        <f t="shared" si="38"/>
        <v>0</v>
      </c>
      <c r="AR272" s="159">
        <f t="shared" si="38"/>
        <v>-12219.45</v>
      </c>
      <c r="AS272" s="159">
        <f t="shared" si="38"/>
        <v>-3319599.7557122926</v>
      </c>
      <c r="AT272" s="159">
        <f t="shared" si="38"/>
        <v>13753333.379999997</v>
      </c>
    </row>
    <row r="273" spans="1:46" ht="11.25" hidden="1" outlineLevel="3">
      <c r="A273" s="155" t="s">
        <v>131</v>
      </c>
      <c r="B273" s="155" t="s">
        <v>132</v>
      </c>
      <c r="C273" s="155" t="s">
        <v>133</v>
      </c>
      <c r="D273" s="156" t="s">
        <v>66</v>
      </c>
      <c r="E273" s="156" t="s">
        <v>139</v>
      </c>
      <c r="F273" s="157">
        <v>0</v>
      </c>
      <c r="G273" s="157">
        <v>239</v>
      </c>
      <c r="H273" s="156">
        <v>33.979999999999997</v>
      </c>
      <c r="I273" s="156">
        <v>1.48</v>
      </c>
      <c r="J273" s="156">
        <v>0</v>
      </c>
      <c r="K273" s="156">
        <v>0</v>
      </c>
      <c r="L273" s="156">
        <v>6.97</v>
      </c>
      <c r="M273" s="156">
        <v>0</v>
      </c>
      <c r="N273" s="156">
        <f t="shared" ref="N273:N284" si="39">J273+K273+L273+M273</f>
        <v>6.97</v>
      </c>
      <c r="O273" s="156">
        <v>0.9</v>
      </c>
      <c r="P273" s="156">
        <v>1.17</v>
      </c>
      <c r="Q273" s="156">
        <v>0</v>
      </c>
      <c r="R273" s="156">
        <v>0</v>
      </c>
      <c r="S273" s="156">
        <v>0</v>
      </c>
      <c r="T273" s="156">
        <v>0</v>
      </c>
      <c r="U273" s="156">
        <v>0</v>
      </c>
      <c r="V273" s="156">
        <v>0</v>
      </c>
      <c r="W273" s="156">
        <v>0</v>
      </c>
      <c r="X273" s="156">
        <v>0</v>
      </c>
      <c r="Y273" s="156">
        <v>0.48</v>
      </c>
      <c r="Z273" s="156">
        <v>0</v>
      </c>
      <c r="AA273" s="156">
        <v>0.78</v>
      </c>
      <c r="AB273" s="156">
        <v>0</v>
      </c>
      <c r="AC273" s="156">
        <v>0</v>
      </c>
      <c r="AD273" s="156">
        <v>0</v>
      </c>
      <c r="AE273" s="156">
        <v>0</v>
      </c>
      <c r="AF273" s="156">
        <v>0</v>
      </c>
      <c r="AG273" s="156">
        <v>0</v>
      </c>
      <c r="AH273" s="156">
        <v>0</v>
      </c>
      <c r="AI273" s="156">
        <v>0</v>
      </c>
      <c r="AJ273" s="156">
        <v>0</v>
      </c>
      <c r="AK273" s="156">
        <v>0</v>
      </c>
      <c r="AL273" s="156">
        <v>0</v>
      </c>
      <c r="AM273" s="156">
        <v>-7.34</v>
      </c>
      <c r="AN273" s="156">
        <v>0</v>
      </c>
      <c r="AO273" s="156">
        <v>0</v>
      </c>
      <c r="AP273" s="156">
        <v>0</v>
      </c>
      <c r="AQ273" s="156">
        <v>0</v>
      </c>
      <c r="AR273" s="156">
        <v>0</v>
      </c>
      <c r="AS273" s="156">
        <v>0</v>
      </c>
      <c r="AT273" s="156">
        <f t="shared" ref="AT273:AT284" si="40">H273+I273+N273+O273+P273+Q273+T273+X273+Y273+Z273+AA273+AB273+AM273+AO273</f>
        <v>38.419999999999987</v>
      </c>
    </row>
    <row r="274" spans="1:46" ht="11.25" hidden="1" outlineLevel="3">
      <c r="A274" s="155" t="s">
        <v>145</v>
      </c>
      <c r="B274" s="155" t="s">
        <v>146</v>
      </c>
      <c r="C274" s="155" t="s">
        <v>133</v>
      </c>
      <c r="D274" s="156" t="s">
        <v>66</v>
      </c>
      <c r="E274" s="156" t="s">
        <v>139</v>
      </c>
      <c r="F274" s="157">
        <v>0</v>
      </c>
      <c r="G274" s="157">
        <v>15638</v>
      </c>
      <c r="H274" s="156">
        <v>1455.46</v>
      </c>
      <c r="I274" s="156">
        <v>54.23</v>
      </c>
      <c r="J274" s="156">
        <v>0</v>
      </c>
      <c r="K274" s="156">
        <v>0</v>
      </c>
      <c r="L274" s="156">
        <v>0</v>
      </c>
      <c r="M274" s="156">
        <v>455.77</v>
      </c>
      <c r="N274" s="156">
        <f t="shared" si="39"/>
        <v>455.77</v>
      </c>
      <c r="O274" s="156">
        <v>0</v>
      </c>
      <c r="P274" s="156">
        <v>0</v>
      </c>
      <c r="Q274" s="156">
        <v>20.63</v>
      </c>
      <c r="R274" s="156">
        <v>0</v>
      </c>
      <c r="S274" s="156">
        <v>0</v>
      </c>
      <c r="T274" s="156">
        <v>0</v>
      </c>
      <c r="U274" s="156">
        <v>0</v>
      </c>
      <c r="V274" s="156">
        <v>0</v>
      </c>
      <c r="W274" s="156">
        <v>0</v>
      </c>
      <c r="X274" s="156">
        <v>0</v>
      </c>
      <c r="Y274" s="156">
        <v>0</v>
      </c>
      <c r="Z274" s="156">
        <v>0</v>
      </c>
      <c r="AA274" s="156">
        <v>0</v>
      </c>
      <c r="AB274" s="156">
        <v>0</v>
      </c>
      <c r="AC274" s="156">
        <v>0</v>
      </c>
      <c r="AD274" s="156">
        <v>0</v>
      </c>
      <c r="AE274" s="156">
        <v>0</v>
      </c>
      <c r="AF274" s="156">
        <v>0</v>
      </c>
      <c r="AG274" s="156">
        <v>0</v>
      </c>
      <c r="AH274" s="156">
        <v>0</v>
      </c>
      <c r="AI274" s="156">
        <v>20.48</v>
      </c>
      <c r="AJ274" s="156">
        <v>0</v>
      </c>
      <c r="AK274" s="156">
        <v>0</v>
      </c>
      <c r="AL274" s="156">
        <v>188.37</v>
      </c>
      <c r="AM274" s="156">
        <v>0</v>
      </c>
      <c r="AN274" s="156">
        <v>0</v>
      </c>
      <c r="AO274" s="156">
        <v>167.94</v>
      </c>
      <c r="AP274" s="156">
        <v>0</v>
      </c>
      <c r="AQ274" s="156">
        <v>0</v>
      </c>
      <c r="AR274" s="156">
        <v>0</v>
      </c>
      <c r="AS274" s="156">
        <v>0</v>
      </c>
      <c r="AT274" s="156">
        <f t="shared" si="40"/>
        <v>2154.0300000000002</v>
      </c>
    </row>
    <row r="275" spans="1:46" ht="11.25" hidden="1" outlineLevel="3">
      <c r="A275" s="155" t="s">
        <v>145</v>
      </c>
      <c r="B275" s="155" t="s">
        <v>147</v>
      </c>
      <c r="C275" s="155" t="s">
        <v>133</v>
      </c>
      <c r="D275" s="156" t="s">
        <v>66</v>
      </c>
      <c r="E275" s="156" t="s">
        <v>139</v>
      </c>
      <c r="F275" s="157">
        <v>0</v>
      </c>
      <c r="G275" s="157">
        <v>14160</v>
      </c>
      <c r="H275" s="156">
        <v>1243.68</v>
      </c>
      <c r="I275" s="156">
        <v>0</v>
      </c>
      <c r="J275" s="156">
        <v>0</v>
      </c>
      <c r="K275" s="156">
        <v>0</v>
      </c>
      <c r="L275" s="156">
        <v>0</v>
      </c>
      <c r="M275" s="156">
        <v>413.46</v>
      </c>
      <c r="N275" s="156">
        <f t="shared" si="39"/>
        <v>413.46</v>
      </c>
      <c r="O275" s="156">
        <v>0</v>
      </c>
      <c r="P275" s="156">
        <v>0</v>
      </c>
      <c r="Q275" s="156">
        <v>18.690000000000001</v>
      </c>
      <c r="R275" s="156">
        <v>0</v>
      </c>
      <c r="S275" s="156">
        <v>0</v>
      </c>
      <c r="T275" s="156">
        <v>0</v>
      </c>
      <c r="U275" s="156">
        <v>0</v>
      </c>
      <c r="V275" s="156">
        <v>0</v>
      </c>
      <c r="W275" s="156">
        <v>0</v>
      </c>
      <c r="X275" s="156">
        <v>0</v>
      </c>
      <c r="Y275" s="156">
        <v>0</v>
      </c>
      <c r="Z275" s="156">
        <v>0</v>
      </c>
      <c r="AA275" s="156">
        <v>0</v>
      </c>
      <c r="AB275" s="156">
        <v>0</v>
      </c>
      <c r="AC275" s="156">
        <v>0</v>
      </c>
      <c r="AD275" s="156">
        <v>0</v>
      </c>
      <c r="AE275" s="156">
        <v>0</v>
      </c>
      <c r="AF275" s="156">
        <v>0</v>
      </c>
      <c r="AG275" s="156">
        <v>0</v>
      </c>
      <c r="AH275" s="156">
        <v>0</v>
      </c>
      <c r="AI275" s="156">
        <v>0</v>
      </c>
      <c r="AJ275" s="156">
        <v>0</v>
      </c>
      <c r="AK275" s="156">
        <v>0</v>
      </c>
      <c r="AL275" s="156">
        <v>137.01</v>
      </c>
      <c r="AM275" s="156">
        <v>0</v>
      </c>
      <c r="AN275" s="156">
        <v>0</v>
      </c>
      <c r="AO275" s="156">
        <v>152.08000000000001</v>
      </c>
      <c r="AP275" s="156">
        <v>0</v>
      </c>
      <c r="AQ275" s="156">
        <v>0</v>
      </c>
      <c r="AR275" s="156">
        <v>0</v>
      </c>
      <c r="AS275" s="156">
        <v>0</v>
      </c>
      <c r="AT275" s="156">
        <f t="shared" si="40"/>
        <v>1827.91</v>
      </c>
    </row>
    <row r="276" spans="1:46" ht="11.25" hidden="1" outlineLevel="3">
      <c r="A276" s="155" t="s">
        <v>152</v>
      </c>
      <c r="B276" s="155" t="s">
        <v>153</v>
      </c>
      <c r="C276" s="155" t="s">
        <v>133</v>
      </c>
      <c r="D276" s="156" t="s">
        <v>66</v>
      </c>
      <c r="E276" s="156" t="s">
        <v>139</v>
      </c>
      <c r="F276" s="157">
        <v>0</v>
      </c>
      <c r="G276" s="157">
        <v>13228</v>
      </c>
      <c r="H276" s="156">
        <v>1858.6</v>
      </c>
      <c r="I276" s="156">
        <v>40.18</v>
      </c>
      <c r="J276" s="156">
        <v>0</v>
      </c>
      <c r="K276" s="156">
        <v>23.87</v>
      </c>
      <c r="L276" s="156">
        <v>0</v>
      </c>
      <c r="M276" s="156">
        <v>0</v>
      </c>
      <c r="N276" s="156">
        <f t="shared" si="39"/>
        <v>23.87</v>
      </c>
      <c r="O276" s="156">
        <v>0</v>
      </c>
      <c r="P276" s="156">
        <v>0</v>
      </c>
      <c r="Q276" s="156">
        <v>0</v>
      </c>
      <c r="R276" s="156">
        <v>0</v>
      </c>
      <c r="S276" s="156">
        <v>0</v>
      </c>
      <c r="T276" s="156">
        <v>38.04</v>
      </c>
      <c r="U276" s="156">
        <v>0</v>
      </c>
      <c r="V276" s="156">
        <v>0</v>
      </c>
      <c r="W276" s="156">
        <v>0</v>
      </c>
      <c r="X276" s="156">
        <v>0</v>
      </c>
      <c r="Y276" s="156">
        <v>0</v>
      </c>
      <c r="Z276" s="156">
        <v>9.1300000000000008</v>
      </c>
      <c r="AA276" s="156">
        <v>0</v>
      </c>
      <c r="AB276" s="156">
        <v>0</v>
      </c>
      <c r="AC276" s="156">
        <v>0</v>
      </c>
      <c r="AD276" s="156">
        <v>0</v>
      </c>
      <c r="AE276" s="156">
        <v>0</v>
      </c>
      <c r="AF276" s="156">
        <v>0</v>
      </c>
      <c r="AG276" s="156">
        <v>0</v>
      </c>
      <c r="AH276" s="156">
        <v>0</v>
      </c>
      <c r="AI276" s="156">
        <v>52.48</v>
      </c>
      <c r="AJ276" s="156">
        <v>0</v>
      </c>
      <c r="AK276" s="156">
        <v>0</v>
      </c>
      <c r="AL276" s="156">
        <v>127.73</v>
      </c>
      <c r="AM276" s="156">
        <v>-66.400000000000006</v>
      </c>
      <c r="AN276" s="156">
        <v>0</v>
      </c>
      <c r="AO276" s="156">
        <v>0</v>
      </c>
      <c r="AP276" s="156">
        <v>0</v>
      </c>
      <c r="AQ276" s="156">
        <v>0</v>
      </c>
      <c r="AR276" s="156">
        <v>0</v>
      </c>
      <c r="AS276" s="156">
        <v>0</v>
      </c>
      <c r="AT276" s="156">
        <f t="shared" si="40"/>
        <v>1903.4199999999998</v>
      </c>
    </row>
    <row r="277" spans="1:46" ht="11.25" hidden="1" outlineLevel="3">
      <c r="A277" s="155" t="s">
        <v>152</v>
      </c>
      <c r="B277" s="155" t="s">
        <v>154</v>
      </c>
      <c r="C277" s="155" t="s">
        <v>133</v>
      </c>
      <c r="D277" s="156" t="s">
        <v>66</v>
      </c>
      <c r="E277" s="156" t="s">
        <v>139</v>
      </c>
      <c r="F277" s="157">
        <v>0</v>
      </c>
      <c r="G277" s="157">
        <v>27873</v>
      </c>
      <c r="H277" s="156">
        <v>3525.28</v>
      </c>
      <c r="I277" s="156">
        <v>110.04</v>
      </c>
      <c r="J277" s="156">
        <v>0</v>
      </c>
      <c r="K277" s="156">
        <v>58.34</v>
      </c>
      <c r="L277" s="156">
        <v>0</v>
      </c>
      <c r="M277" s="156">
        <v>0</v>
      </c>
      <c r="N277" s="156">
        <f t="shared" si="39"/>
        <v>58.34</v>
      </c>
      <c r="O277" s="156">
        <v>0</v>
      </c>
      <c r="P277" s="156">
        <v>0</v>
      </c>
      <c r="Q277" s="156">
        <v>0</v>
      </c>
      <c r="R277" s="156">
        <v>0</v>
      </c>
      <c r="S277" s="156">
        <v>0</v>
      </c>
      <c r="T277" s="156">
        <v>0</v>
      </c>
      <c r="U277" s="156">
        <v>0</v>
      </c>
      <c r="V277" s="156">
        <v>0</v>
      </c>
      <c r="W277" s="156">
        <v>0</v>
      </c>
      <c r="X277" s="156">
        <v>0</v>
      </c>
      <c r="Y277" s="156">
        <v>0</v>
      </c>
      <c r="Z277" s="156">
        <v>19.79</v>
      </c>
      <c r="AA277" s="156">
        <v>0</v>
      </c>
      <c r="AB277" s="156">
        <v>0</v>
      </c>
      <c r="AC277" s="156">
        <v>0</v>
      </c>
      <c r="AD277" s="156">
        <v>0</v>
      </c>
      <c r="AE277" s="156">
        <v>0</v>
      </c>
      <c r="AF277" s="156">
        <v>0</v>
      </c>
      <c r="AG277" s="156">
        <v>0</v>
      </c>
      <c r="AH277" s="156">
        <v>0</v>
      </c>
      <c r="AI277" s="156">
        <v>2.38</v>
      </c>
      <c r="AJ277" s="156">
        <v>0</v>
      </c>
      <c r="AK277" s="156">
        <v>0</v>
      </c>
      <c r="AL277" s="156">
        <v>252.66</v>
      </c>
      <c r="AM277" s="156">
        <v>-139.91</v>
      </c>
      <c r="AN277" s="156">
        <v>0</v>
      </c>
      <c r="AO277" s="156">
        <v>0</v>
      </c>
      <c r="AP277" s="156">
        <v>0</v>
      </c>
      <c r="AQ277" s="156">
        <v>0</v>
      </c>
      <c r="AR277" s="156">
        <v>0</v>
      </c>
      <c r="AS277" s="156">
        <v>0</v>
      </c>
      <c r="AT277" s="156">
        <f t="shared" si="40"/>
        <v>3573.5400000000004</v>
      </c>
    </row>
    <row r="278" spans="1:46" ht="11.25" hidden="1" outlineLevel="3">
      <c r="A278" s="155" t="s">
        <v>152</v>
      </c>
      <c r="B278" s="155" t="s">
        <v>155</v>
      </c>
      <c r="C278" s="155" t="s">
        <v>133</v>
      </c>
      <c r="D278" s="156" t="s">
        <v>66</v>
      </c>
      <c r="E278" s="156" t="s">
        <v>139</v>
      </c>
      <c r="F278" s="157">
        <v>0</v>
      </c>
      <c r="G278" s="157">
        <v>6384</v>
      </c>
      <c r="H278" s="156">
        <v>787.74</v>
      </c>
      <c r="I278" s="156">
        <v>0</v>
      </c>
      <c r="J278" s="156">
        <v>0</v>
      </c>
      <c r="K278" s="156">
        <v>0.74</v>
      </c>
      <c r="L278" s="156">
        <v>0</v>
      </c>
      <c r="M278" s="156">
        <v>0</v>
      </c>
      <c r="N278" s="156">
        <f t="shared" si="39"/>
        <v>0.74</v>
      </c>
      <c r="O278" s="156">
        <v>0</v>
      </c>
      <c r="P278" s="156">
        <v>0</v>
      </c>
      <c r="Q278" s="156">
        <v>0</v>
      </c>
      <c r="R278" s="156">
        <v>0</v>
      </c>
      <c r="S278" s="156">
        <v>0</v>
      </c>
      <c r="T278" s="156">
        <v>0</v>
      </c>
      <c r="U278" s="156">
        <v>0</v>
      </c>
      <c r="V278" s="156">
        <v>0</v>
      </c>
      <c r="W278" s="156">
        <v>0</v>
      </c>
      <c r="X278" s="156">
        <v>0</v>
      </c>
      <c r="Y278" s="156">
        <v>0</v>
      </c>
      <c r="Z278" s="156">
        <v>4.53</v>
      </c>
      <c r="AA278" s="156">
        <v>0</v>
      </c>
      <c r="AB278" s="156">
        <v>0</v>
      </c>
      <c r="AC278" s="156">
        <v>0</v>
      </c>
      <c r="AD278" s="156">
        <v>0</v>
      </c>
      <c r="AE278" s="156">
        <v>0</v>
      </c>
      <c r="AF278" s="156">
        <v>0</v>
      </c>
      <c r="AG278" s="156">
        <v>0</v>
      </c>
      <c r="AH278" s="156">
        <v>0</v>
      </c>
      <c r="AI278" s="156">
        <v>0</v>
      </c>
      <c r="AJ278" s="156">
        <v>0</v>
      </c>
      <c r="AK278" s="156">
        <v>0</v>
      </c>
      <c r="AL278" s="156">
        <v>46.41</v>
      </c>
      <c r="AM278" s="156">
        <v>-32.049999999999997</v>
      </c>
      <c r="AN278" s="156">
        <v>0</v>
      </c>
      <c r="AO278" s="156">
        <v>0</v>
      </c>
      <c r="AP278" s="156">
        <v>0</v>
      </c>
      <c r="AQ278" s="156">
        <v>0</v>
      </c>
      <c r="AR278" s="156">
        <v>0</v>
      </c>
      <c r="AS278" s="156">
        <v>0</v>
      </c>
      <c r="AT278" s="156">
        <f t="shared" si="40"/>
        <v>760.96</v>
      </c>
    </row>
    <row r="279" spans="1:46" ht="11.25" hidden="1" outlineLevel="3">
      <c r="A279" s="155" t="s">
        <v>152</v>
      </c>
      <c r="B279" s="155" t="s">
        <v>157</v>
      </c>
      <c r="C279" s="155" t="s">
        <v>133</v>
      </c>
      <c r="D279" s="156" t="s">
        <v>66</v>
      </c>
      <c r="E279" s="156" t="s">
        <v>139</v>
      </c>
      <c r="F279" s="157">
        <v>0</v>
      </c>
      <c r="G279" s="157">
        <v>31948</v>
      </c>
      <c r="H279" s="156">
        <v>4310.75</v>
      </c>
      <c r="I279" s="156">
        <v>240.16</v>
      </c>
      <c r="J279" s="156">
        <v>0</v>
      </c>
      <c r="K279" s="156">
        <v>31.34</v>
      </c>
      <c r="L279" s="156">
        <v>0</v>
      </c>
      <c r="M279" s="156">
        <v>0</v>
      </c>
      <c r="N279" s="156">
        <f t="shared" si="39"/>
        <v>31.34</v>
      </c>
      <c r="O279" s="156">
        <v>0</v>
      </c>
      <c r="P279" s="156">
        <v>0</v>
      </c>
      <c r="Q279" s="156">
        <v>0</v>
      </c>
      <c r="R279" s="156">
        <v>0</v>
      </c>
      <c r="S279" s="156">
        <v>0</v>
      </c>
      <c r="T279" s="156">
        <v>55.98</v>
      </c>
      <c r="U279" s="156">
        <v>0</v>
      </c>
      <c r="V279" s="156">
        <v>0</v>
      </c>
      <c r="W279" s="156">
        <v>0</v>
      </c>
      <c r="X279" s="156">
        <v>0</v>
      </c>
      <c r="Y279" s="156">
        <v>0</v>
      </c>
      <c r="Z279" s="156">
        <v>20.190000000000001</v>
      </c>
      <c r="AA279" s="156">
        <v>0</v>
      </c>
      <c r="AB279" s="156">
        <v>0</v>
      </c>
      <c r="AC279" s="156">
        <v>0</v>
      </c>
      <c r="AD279" s="156">
        <v>0</v>
      </c>
      <c r="AE279" s="156">
        <v>0</v>
      </c>
      <c r="AF279" s="156">
        <v>0</v>
      </c>
      <c r="AG279" s="156">
        <v>0</v>
      </c>
      <c r="AH279" s="156">
        <v>0</v>
      </c>
      <c r="AI279" s="156">
        <v>107.89</v>
      </c>
      <c r="AJ279" s="156">
        <v>0</v>
      </c>
      <c r="AK279" s="156">
        <v>0</v>
      </c>
      <c r="AL279" s="156">
        <v>221.46</v>
      </c>
      <c r="AM279" s="156">
        <v>-160.36000000000001</v>
      </c>
      <c r="AN279" s="156">
        <v>0</v>
      </c>
      <c r="AO279" s="156">
        <v>0</v>
      </c>
      <c r="AP279" s="156">
        <v>0</v>
      </c>
      <c r="AQ279" s="156">
        <v>0</v>
      </c>
      <c r="AR279" s="156">
        <v>0</v>
      </c>
      <c r="AS279" s="156">
        <v>0</v>
      </c>
      <c r="AT279" s="156">
        <f t="shared" si="40"/>
        <v>4498.0599999999995</v>
      </c>
    </row>
    <row r="280" spans="1:46" ht="11.25" hidden="1" outlineLevel="3">
      <c r="A280" s="155" t="s">
        <v>152</v>
      </c>
      <c r="B280" s="155" t="s">
        <v>137</v>
      </c>
      <c r="C280" s="155" t="s">
        <v>133</v>
      </c>
      <c r="D280" s="156" t="s">
        <v>66</v>
      </c>
      <c r="E280" s="156" t="s">
        <v>139</v>
      </c>
      <c r="F280" s="157">
        <v>0</v>
      </c>
      <c r="G280" s="157">
        <v>54712</v>
      </c>
      <c r="H280" s="156">
        <v>6904.6</v>
      </c>
      <c r="I280" s="156">
        <v>278.27</v>
      </c>
      <c r="J280" s="156">
        <v>0</v>
      </c>
      <c r="K280" s="156">
        <v>6.52</v>
      </c>
      <c r="L280" s="156">
        <v>0</v>
      </c>
      <c r="M280" s="156">
        <v>0</v>
      </c>
      <c r="N280" s="156">
        <f t="shared" si="39"/>
        <v>6.52</v>
      </c>
      <c r="O280" s="156">
        <v>0</v>
      </c>
      <c r="P280" s="156">
        <v>0</v>
      </c>
      <c r="Q280" s="156">
        <v>0</v>
      </c>
      <c r="R280" s="156">
        <v>0</v>
      </c>
      <c r="S280" s="156">
        <v>0</v>
      </c>
      <c r="T280" s="156">
        <v>219.82</v>
      </c>
      <c r="U280" s="156">
        <v>0</v>
      </c>
      <c r="V280" s="156">
        <v>0</v>
      </c>
      <c r="W280" s="156">
        <v>0</v>
      </c>
      <c r="X280" s="156">
        <v>0</v>
      </c>
      <c r="Y280" s="156">
        <v>0</v>
      </c>
      <c r="Z280" s="156">
        <v>33.43</v>
      </c>
      <c r="AA280" s="156">
        <v>0</v>
      </c>
      <c r="AB280" s="156">
        <v>0</v>
      </c>
      <c r="AC280" s="156">
        <v>0</v>
      </c>
      <c r="AD280" s="156">
        <v>0</v>
      </c>
      <c r="AE280" s="156">
        <v>0</v>
      </c>
      <c r="AF280" s="156">
        <v>0</v>
      </c>
      <c r="AG280" s="156">
        <v>0</v>
      </c>
      <c r="AH280" s="156">
        <v>0</v>
      </c>
      <c r="AI280" s="156">
        <v>62.82</v>
      </c>
      <c r="AJ280" s="156">
        <v>0</v>
      </c>
      <c r="AK280" s="156">
        <v>0</v>
      </c>
      <c r="AL280" s="156">
        <v>502.87</v>
      </c>
      <c r="AM280" s="156">
        <v>-274.67</v>
      </c>
      <c r="AN280" s="156">
        <v>0</v>
      </c>
      <c r="AO280" s="156">
        <v>0</v>
      </c>
      <c r="AP280" s="156">
        <v>0</v>
      </c>
      <c r="AQ280" s="156">
        <v>0</v>
      </c>
      <c r="AR280" s="156">
        <v>0</v>
      </c>
      <c r="AS280" s="156">
        <v>0</v>
      </c>
      <c r="AT280" s="156">
        <f t="shared" si="40"/>
        <v>7167.9700000000012</v>
      </c>
    </row>
    <row r="281" spans="1:46" ht="11.25" hidden="1" outlineLevel="3">
      <c r="A281" s="155" t="s">
        <v>152</v>
      </c>
      <c r="B281" s="155" t="s">
        <v>158</v>
      </c>
      <c r="C281" s="155" t="s">
        <v>133</v>
      </c>
      <c r="D281" s="156" t="s">
        <v>66</v>
      </c>
      <c r="E281" s="156" t="s">
        <v>139</v>
      </c>
      <c r="F281" s="157">
        <v>0</v>
      </c>
      <c r="G281" s="157">
        <v>12054</v>
      </c>
      <c r="H281" s="156">
        <v>1572.25</v>
      </c>
      <c r="I281" s="156">
        <v>29.09</v>
      </c>
      <c r="J281" s="156">
        <v>0</v>
      </c>
      <c r="K281" s="156">
        <v>17.420000000000002</v>
      </c>
      <c r="L281" s="156">
        <v>0</v>
      </c>
      <c r="M281" s="156">
        <v>0</v>
      </c>
      <c r="N281" s="156">
        <f t="shared" si="39"/>
        <v>17.420000000000002</v>
      </c>
      <c r="O281" s="156">
        <v>0</v>
      </c>
      <c r="P281" s="156">
        <v>0</v>
      </c>
      <c r="Q281" s="156">
        <v>0</v>
      </c>
      <c r="R281" s="156">
        <v>0</v>
      </c>
      <c r="S281" s="156">
        <v>0</v>
      </c>
      <c r="T281" s="156">
        <v>0</v>
      </c>
      <c r="U281" s="156">
        <v>0</v>
      </c>
      <c r="V281" s="156">
        <v>0</v>
      </c>
      <c r="W281" s="156">
        <v>0</v>
      </c>
      <c r="X281" s="156">
        <v>0</v>
      </c>
      <c r="Y281" s="156">
        <v>0</v>
      </c>
      <c r="Z281" s="156">
        <v>8.56</v>
      </c>
      <c r="AA281" s="156">
        <v>0</v>
      </c>
      <c r="AB281" s="156">
        <v>0</v>
      </c>
      <c r="AC281" s="156">
        <v>0</v>
      </c>
      <c r="AD281" s="156">
        <v>0</v>
      </c>
      <c r="AE281" s="156">
        <v>0</v>
      </c>
      <c r="AF281" s="156">
        <v>0</v>
      </c>
      <c r="AG281" s="156">
        <v>0</v>
      </c>
      <c r="AH281" s="156">
        <v>0</v>
      </c>
      <c r="AI281" s="156">
        <v>18.02</v>
      </c>
      <c r="AJ281" s="156">
        <v>0</v>
      </c>
      <c r="AK281" s="156">
        <v>0</v>
      </c>
      <c r="AL281" s="156">
        <v>102.79</v>
      </c>
      <c r="AM281" s="156">
        <v>-60.51</v>
      </c>
      <c r="AN281" s="156">
        <v>0</v>
      </c>
      <c r="AO281" s="156">
        <v>0</v>
      </c>
      <c r="AP281" s="156">
        <v>0</v>
      </c>
      <c r="AQ281" s="156">
        <v>0</v>
      </c>
      <c r="AR281" s="156">
        <v>0</v>
      </c>
      <c r="AS281" s="156">
        <v>0</v>
      </c>
      <c r="AT281" s="156">
        <f t="shared" si="40"/>
        <v>1566.81</v>
      </c>
    </row>
    <row r="282" spans="1:46" ht="11.25" hidden="1" outlineLevel="3">
      <c r="A282" s="155" t="s">
        <v>152</v>
      </c>
      <c r="B282" s="155" t="s">
        <v>159</v>
      </c>
      <c r="C282" s="155" t="s">
        <v>133</v>
      </c>
      <c r="D282" s="156" t="s">
        <v>66</v>
      </c>
      <c r="E282" s="156" t="s">
        <v>139</v>
      </c>
      <c r="F282" s="157">
        <v>0</v>
      </c>
      <c r="G282" s="157">
        <v>805</v>
      </c>
      <c r="H282" s="156">
        <v>127.3</v>
      </c>
      <c r="I282" s="156">
        <v>3.8</v>
      </c>
      <c r="J282" s="156">
        <v>0</v>
      </c>
      <c r="K282" s="156">
        <v>2.83</v>
      </c>
      <c r="L282" s="156">
        <v>0</v>
      </c>
      <c r="M282" s="156">
        <v>0</v>
      </c>
      <c r="N282" s="156">
        <f t="shared" si="39"/>
        <v>2.83</v>
      </c>
      <c r="O282" s="156">
        <v>0</v>
      </c>
      <c r="P282" s="156">
        <v>0</v>
      </c>
      <c r="Q282" s="156">
        <v>0</v>
      </c>
      <c r="R282" s="156">
        <v>0</v>
      </c>
      <c r="S282" s="156">
        <v>0</v>
      </c>
      <c r="T282" s="156">
        <v>0</v>
      </c>
      <c r="U282" s="156">
        <v>0</v>
      </c>
      <c r="V282" s="156">
        <v>0</v>
      </c>
      <c r="W282" s="156">
        <v>0</v>
      </c>
      <c r="X282" s="156">
        <v>0</v>
      </c>
      <c r="Y282" s="156">
        <v>0</v>
      </c>
      <c r="Z282" s="156">
        <v>0.56999999999999995</v>
      </c>
      <c r="AA282" s="156">
        <v>0</v>
      </c>
      <c r="AB282" s="156">
        <v>0</v>
      </c>
      <c r="AC282" s="156">
        <v>0</v>
      </c>
      <c r="AD282" s="156">
        <v>0</v>
      </c>
      <c r="AE282" s="156">
        <v>0</v>
      </c>
      <c r="AF282" s="156">
        <v>0</v>
      </c>
      <c r="AG282" s="156">
        <v>0</v>
      </c>
      <c r="AH282" s="156">
        <v>0</v>
      </c>
      <c r="AI282" s="156">
        <v>0</v>
      </c>
      <c r="AJ282" s="156">
        <v>0</v>
      </c>
      <c r="AK282" s="156">
        <v>0</v>
      </c>
      <c r="AL282" s="156">
        <v>10.57</v>
      </c>
      <c r="AM282" s="156">
        <v>-4.04</v>
      </c>
      <c r="AN282" s="156">
        <v>0</v>
      </c>
      <c r="AO282" s="156">
        <v>0</v>
      </c>
      <c r="AP282" s="156">
        <v>0</v>
      </c>
      <c r="AQ282" s="156">
        <v>0</v>
      </c>
      <c r="AR282" s="156">
        <v>0</v>
      </c>
      <c r="AS282" s="156">
        <v>0</v>
      </c>
      <c r="AT282" s="156">
        <f t="shared" si="40"/>
        <v>130.46</v>
      </c>
    </row>
    <row r="283" spans="1:46" ht="11.25" hidden="1" outlineLevel="3">
      <c r="A283" s="155" t="s">
        <v>152</v>
      </c>
      <c r="B283" s="155" t="s">
        <v>160</v>
      </c>
      <c r="C283" s="155" t="s">
        <v>133</v>
      </c>
      <c r="D283" s="156" t="s">
        <v>66</v>
      </c>
      <c r="E283" s="156" t="s">
        <v>139</v>
      </c>
      <c r="F283" s="157">
        <v>0</v>
      </c>
      <c r="G283" s="157">
        <v>37155</v>
      </c>
      <c r="H283" s="156">
        <v>4660.5600000000004</v>
      </c>
      <c r="I283" s="156">
        <v>198.38</v>
      </c>
      <c r="J283" s="156">
        <v>0</v>
      </c>
      <c r="K283" s="156">
        <v>48.12</v>
      </c>
      <c r="L283" s="156">
        <v>0</v>
      </c>
      <c r="M283" s="156">
        <v>0</v>
      </c>
      <c r="N283" s="156">
        <f t="shared" si="39"/>
        <v>48.12</v>
      </c>
      <c r="O283" s="156">
        <v>0</v>
      </c>
      <c r="P283" s="156">
        <v>0</v>
      </c>
      <c r="Q283" s="156">
        <v>0</v>
      </c>
      <c r="R283" s="156">
        <v>0</v>
      </c>
      <c r="S283" s="156">
        <v>0</v>
      </c>
      <c r="T283" s="156">
        <v>81.819999999999993</v>
      </c>
      <c r="U283" s="156">
        <v>0</v>
      </c>
      <c r="V283" s="156">
        <v>0</v>
      </c>
      <c r="W283" s="156">
        <v>0</v>
      </c>
      <c r="X283" s="156">
        <v>0</v>
      </c>
      <c r="Y283" s="156">
        <v>0</v>
      </c>
      <c r="Z283" s="156">
        <v>26.39</v>
      </c>
      <c r="AA283" s="156">
        <v>0</v>
      </c>
      <c r="AB283" s="156">
        <v>0</v>
      </c>
      <c r="AC283" s="156">
        <v>0</v>
      </c>
      <c r="AD283" s="156">
        <v>0</v>
      </c>
      <c r="AE283" s="156">
        <v>0</v>
      </c>
      <c r="AF283" s="156">
        <v>0</v>
      </c>
      <c r="AG283" s="156">
        <v>0</v>
      </c>
      <c r="AH283" s="156">
        <v>0</v>
      </c>
      <c r="AI283" s="156">
        <v>17.59</v>
      </c>
      <c r="AJ283" s="156">
        <v>0</v>
      </c>
      <c r="AK283" s="156">
        <v>0</v>
      </c>
      <c r="AL283" s="156">
        <v>211.19</v>
      </c>
      <c r="AM283" s="156">
        <v>-186.52</v>
      </c>
      <c r="AN283" s="156">
        <v>0</v>
      </c>
      <c r="AO283" s="156">
        <v>0</v>
      </c>
      <c r="AP283" s="156">
        <v>0</v>
      </c>
      <c r="AQ283" s="156">
        <v>0</v>
      </c>
      <c r="AR283" s="156">
        <v>0</v>
      </c>
      <c r="AS283" s="156">
        <v>0</v>
      </c>
      <c r="AT283" s="156">
        <f t="shared" si="40"/>
        <v>4828.75</v>
      </c>
    </row>
    <row r="284" spans="1:46" ht="11.25" hidden="1" outlineLevel="3">
      <c r="A284" s="155" t="s">
        <v>167</v>
      </c>
      <c r="B284" s="155" t="s">
        <v>146</v>
      </c>
      <c r="C284" s="155" t="s">
        <v>133</v>
      </c>
      <c r="D284" s="156" t="s">
        <v>66</v>
      </c>
      <c r="E284" s="156" t="s">
        <v>139</v>
      </c>
      <c r="F284" s="157">
        <v>0</v>
      </c>
      <c r="G284" s="157">
        <v>42</v>
      </c>
      <c r="H284" s="156">
        <v>45.43</v>
      </c>
      <c r="I284" s="156">
        <v>0</v>
      </c>
      <c r="J284" s="156">
        <v>1.1499999999999999</v>
      </c>
      <c r="K284" s="156">
        <v>0</v>
      </c>
      <c r="L284" s="156">
        <v>0</v>
      </c>
      <c r="M284" s="156">
        <v>0</v>
      </c>
      <c r="N284" s="156">
        <f t="shared" si="39"/>
        <v>1.1499999999999999</v>
      </c>
      <c r="O284" s="156">
        <v>0</v>
      </c>
      <c r="P284" s="156">
        <v>0</v>
      </c>
      <c r="Q284" s="156">
        <v>0</v>
      </c>
      <c r="R284" s="156">
        <v>0</v>
      </c>
      <c r="S284" s="156">
        <v>0</v>
      </c>
      <c r="T284" s="156">
        <v>0</v>
      </c>
      <c r="U284" s="156">
        <v>0</v>
      </c>
      <c r="V284" s="156">
        <v>0</v>
      </c>
      <c r="W284" s="156">
        <v>0</v>
      </c>
      <c r="X284" s="156">
        <v>0.01</v>
      </c>
      <c r="Y284" s="156">
        <v>0</v>
      </c>
      <c r="Z284" s="156">
        <v>0</v>
      </c>
      <c r="AA284" s="156">
        <v>0</v>
      </c>
      <c r="AB284" s="156">
        <v>0</v>
      </c>
      <c r="AC284" s="156">
        <v>0</v>
      </c>
      <c r="AD284" s="156">
        <v>0</v>
      </c>
      <c r="AE284" s="156">
        <v>0</v>
      </c>
      <c r="AF284" s="156">
        <v>0</v>
      </c>
      <c r="AG284" s="156">
        <v>0</v>
      </c>
      <c r="AH284" s="156">
        <v>0</v>
      </c>
      <c r="AI284" s="156">
        <v>0</v>
      </c>
      <c r="AJ284" s="156">
        <v>0</v>
      </c>
      <c r="AK284" s="156">
        <v>0</v>
      </c>
      <c r="AL284" s="156">
        <v>1.54</v>
      </c>
      <c r="AM284" s="156">
        <v>-0.82</v>
      </c>
      <c r="AN284" s="156">
        <v>0</v>
      </c>
      <c r="AO284" s="156">
        <v>0</v>
      </c>
      <c r="AP284" s="156">
        <v>0</v>
      </c>
      <c r="AQ284" s="156">
        <v>0</v>
      </c>
      <c r="AR284" s="156">
        <v>0</v>
      </c>
      <c r="AS284" s="156">
        <v>0</v>
      </c>
      <c r="AT284" s="156">
        <f t="shared" si="40"/>
        <v>45.769999999999996</v>
      </c>
    </row>
    <row r="285" spans="1:46" ht="11.25" outlineLevel="2" collapsed="1">
      <c r="D285" s="156"/>
      <c r="E285" s="156" t="s">
        <v>219</v>
      </c>
      <c r="F285" s="157">
        <v>80</v>
      </c>
      <c r="G285" s="157">
        <f t="shared" ref="G285:AT285" si="41">SUBTOTAL(9,G273:G284)</f>
        <v>214238</v>
      </c>
      <c r="H285" s="156">
        <f t="shared" si="41"/>
        <v>26525.63</v>
      </c>
      <c r="I285" s="156">
        <f t="shared" si="41"/>
        <v>955.63</v>
      </c>
      <c r="J285" s="156">
        <f t="shared" si="41"/>
        <v>1.1499999999999999</v>
      </c>
      <c r="K285" s="156">
        <f t="shared" si="41"/>
        <v>189.18000000000004</v>
      </c>
      <c r="L285" s="156">
        <f t="shared" si="41"/>
        <v>6.97</v>
      </c>
      <c r="M285" s="156">
        <f t="shared" si="41"/>
        <v>869.23</v>
      </c>
      <c r="N285" s="156">
        <f t="shared" si="41"/>
        <v>1066.5300000000002</v>
      </c>
      <c r="O285" s="156">
        <f t="shared" si="41"/>
        <v>0.9</v>
      </c>
      <c r="P285" s="156">
        <f t="shared" si="41"/>
        <v>1.17</v>
      </c>
      <c r="Q285" s="156">
        <f t="shared" si="41"/>
        <v>39.32</v>
      </c>
      <c r="R285" s="156">
        <f t="shared" si="41"/>
        <v>0</v>
      </c>
      <c r="S285" s="156">
        <f t="shared" si="41"/>
        <v>0</v>
      </c>
      <c r="T285" s="156">
        <f t="shared" si="41"/>
        <v>395.65999999999997</v>
      </c>
      <c r="U285" s="156">
        <f t="shared" si="41"/>
        <v>0</v>
      </c>
      <c r="V285" s="156">
        <f t="shared" si="41"/>
        <v>0</v>
      </c>
      <c r="W285" s="156">
        <f t="shared" si="41"/>
        <v>0</v>
      </c>
      <c r="X285" s="156">
        <f t="shared" si="41"/>
        <v>0.01</v>
      </c>
      <c r="Y285" s="156">
        <f t="shared" si="41"/>
        <v>0.48</v>
      </c>
      <c r="Z285" s="156">
        <f t="shared" si="41"/>
        <v>122.58999999999999</v>
      </c>
      <c r="AA285" s="156">
        <f t="shared" si="41"/>
        <v>0.78</v>
      </c>
      <c r="AB285" s="156">
        <f t="shared" si="41"/>
        <v>0</v>
      </c>
      <c r="AC285" s="156">
        <f t="shared" si="41"/>
        <v>0</v>
      </c>
      <c r="AD285" s="156">
        <f t="shared" si="41"/>
        <v>0</v>
      </c>
      <c r="AE285" s="156">
        <f t="shared" si="41"/>
        <v>0</v>
      </c>
      <c r="AF285" s="156">
        <f t="shared" si="41"/>
        <v>0</v>
      </c>
      <c r="AG285" s="156">
        <f t="shared" si="41"/>
        <v>0</v>
      </c>
      <c r="AH285" s="156">
        <f t="shared" si="41"/>
        <v>0</v>
      </c>
      <c r="AI285" s="156">
        <f t="shared" si="41"/>
        <v>281.65999999999997</v>
      </c>
      <c r="AJ285" s="156">
        <f t="shared" si="41"/>
        <v>0</v>
      </c>
      <c r="AK285" s="156">
        <f t="shared" si="41"/>
        <v>0</v>
      </c>
      <c r="AL285" s="156">
        <f t="shared" si="41"/>
        <v>1802.6</v>
      </c>
      <c r="AM285" s="156">
        <f t="shared" si="41"/>
        <v>-932.62</v>
      </c>
      <c r="AN285" s="156">
        <f t="shared" si="41"/>
        <v>0</v>
      </c>
      <c r="AO285" s="156">
        <f t="shared" si="41"/>
        <v>320.02</v>
      </c>
      <c r="AP285" s="156">
        <f t="shared" si="41"/>
        <v>0</v>
      </c>
      <c r="AQ285" s="156">
        <f t="shared" si="41"/>
        <v>0</v>
      </c>
      <c r="AR285" s="156">
        <f t="shared" si="41"/>
        <v>0</v>
      </c>
      <c r="AS285" s="156">
        <f t="shared" si="41"/>
        <v>0</v>
      </c>
      <c r="AT285" s="156">
        <f t="shared" si="41"/>
        <v>28496.100000000006</v>
      </c>
    </row>
    <row r="286" spans="1:46" ht="11.25" hidden="1" outlineLevel="3">
      <c r="A286" s="155" t="s">
        <v>131</v>
      </c>
      <c r="B286" s="155" t="s">
        <v>132</v>
      </c>
      <c r="C286" s="155" t="s">
        <v>133</v>
      </c>
      <c r="D286" s="156" t="s">
        <v>66</v>
      </c>
      <c r="E286" s="156" t="s">
        <v>140</v>
      </c>
      <c r="F286" s="157">
        <v>0</v>
      </c>
      <c r="G286" s="157">
        <v>471140</v>
      </c>
      <c r="H286" s="156">
        <v>30837.41</v>
      </c>
      <c r="I286" s="156">
        <v>50</v>
      </c>
      <c r="J286" s="156">
        <v>0</v>
      </c>
      <c r="K286" s="156">
        <v>0</v>
      </c>
      <c r="L286" s="156">
        <v>13738.44</v>
      </c>
      <c r="M286" s="156">
        <v>0</v>
      </c>
      <c r="N286" s="156">
        <f t="shared" ref="N286:N296" si="42">J286+K286+L286+M286</f>
        <v>13738.44</v>
      </c>
      <c r="O286" s="156">
        <v>1418.13</v>
      </c>
      <c r="P286" s="156">
        <v>2448.54</v>
      </c>
      <c r="Q286" s="156">
        <v>0</v>
      </c>
      <c r="R286" s="156">
        <v>0</v>
      </c>
      <c r="S286" s="156">
        <v>0</v>
      </c>
      <c r="T286" s="156">
        <v>60</v>
      </c>
      <c r="U286" s="156">
        <v>0</v>
      </c>
      <c r="V286" s="156">
        <v>0</v>
      </c>
      <c r="W286" s="156">
        <v>0</v>
      </c>
      <c r="X286" s="156">
        <v>0</v>
      </c>
      <c r="Y286" s="156">
        <v>942.28</v>
      </c>
      <c r="Z286" s="156">
        <v>0</v>
      </c>
      <c r="AA286" s="156">
        <v>1542.17</v>
      </c>
      <c r="AB286" s="156">
        <v>0</v>
      </c>
      <c r="AC286" s="156">
        <v>0</v>
      </c>
      <c r="AD286" s="156">
        <v>0</v>
      </c>
      <c r="AE286" s="156">
        <v>0</v>
      </c>
      <c r="AF286" s="156">
        <v>0</v>
      </c>
      <c r="AG286" s="156">
        <v>0</v>
      </c>
      <c r="AH286" s="156">
        <v>0</v>
      </c>
      <c r="AI286" s="156">
        <v>0</v>
      </c>
      <c r="AJ286" s="156">
        <v>0</v>
      </c>
      <c r="AK286" s="156">
        <v>0</v>
      </c>
      <c r="AL286" s="156">
        <v>1784.18</v>
      </c>
      <c r="AM286" s="156">
        <v>-6586.87</v>
      </c>
      <c r="AN286" s="156">
        <v>0</v>
      </c>
      <c r="AO286" s="156">
        <v>0</v>
      </c>
      <c r="AP286" s="156">
        <v>0</v>
      </c>
      <c r="AQ286" s="156">
        <v>0</v>
      </c>
      <c r="AR286" s="156">
        <v>0</v>
      </c>
      <c r="AS286" s="156">
        <v>0</v>
      </c>
      <c r="AT286" s="156">
        <f t="shared" ref="AT286:AT296" si="43">H286+I286+N286+O286+P286+Q286+T286+X286+Y286+Z286+AA286+AB286+AM286+AO286</f>
        <v>44450.099999999991</v>
      </c>
    </row>
    <row r="287" spans="1:46" ht="11.25" hidden="1" outlineLevel="3">
      <c r="A287" s="155" t="s">
        <v>145</v>
      </c>
      <c r="B287" s="155" t="s">
        <v>146</v>
      </c>
      <c r="C287" s="155" t="s">
        <v>133</v>
      </c>
      <c r="D287" s="156" t="s">
        <v>66</v>
      </c>
      <c r="E287" s="156" t="s">
        <v>140</v>
      </c>
      <c r="F287" s="157">
        <v>0</v>
      </c>
      <c r="G287" s="157">
        <v>622760</v>
      </c>
      <c r="H287" s="156">
        <v>47769.96</v>
      </c>
      <c r="I287" s="156">
        <v>275</v>
      </c>
      <c r="J287" s="156">
        <v>0</v>
      </c>
      <c r="K287" s="156">
        <v>0</v>
      </c>
      <c r="L287" s="156">
        <v>0</v>
      </c>
      <c r="M287" s="156">
        <v>18572.36</v>
      </c>
      <c r="N287" s="156">
        <f t="shared" si="42"/>
        <v>18572.36</v>
      </c>
      <c r="O287" s="156">
        <v>0</v>
      </c>
      <c r="P287" s="156">
        <v>0</v>
      </c>
      <c r="Q287" s="156">
        <v>822.05</v>
      </c>
      <c r="R287" s="156">
        <v>0</v>
      </c>
      <c r="S287" s="156">
        <v>0</v>
      </c>
      <c r="T287" s="156">
        <v>0</v>
      </c>
      <c r="U287" s="156">
        <v>0</v>
      </c>
      <c r="V287" s="156">
        <v>0</v>
      </c>
      <c r="W287" s="156">
        <v>0</v>
      </c>
      <c r="X287" s="156">
        <v>0</v>
      </c>
      <c r="Y287" s="156">
        <v>0</v>
      </c>
      <c r="Z287" s="156">
        <v>0</v>
      </c>
      <c r="AA287" s="156">
        <v>0</v>
      </c>
      <c r="AB287" s="156">
        <v>0</v>
      </c>
      <c r="AC287" s="156">
        <v>0</v>
      </c>
      <c r="AD287" s="156">
        <v>0</v>
      </c>
      <c r="AE287" s="156">
        <v>0</v>
      </c>
      <c r="AF287" s="156">
        <v>0</v>
      </c>
      <c r="AG287" s="156">
        <v>0</v>
      </c>
      <c r="AH287" s="156">
        <v>0</v>
      </c>
      <c r="AI287" s="156">
        <v>626.55999999999995</v>
      </c>
      <c r="AJ287" s="156">
        <v>0</v>
      </c>
      <c r="AK287" s="156">
        <v>0</v>
      </c>
      <c r="AL287" s="156">
        <v>4179.4799999999996</v>
      </c>
      <c r="AM287" s="156">
        <v>0</v>
      </c>
      <c r="AN287" s="156">
        <v>0</v>
      </c>
      <c r="AO287" s="156">
        <v>5919.95</v>
      </c>
      <c r="AP287" s="156">
        <v>0</v>
      </c>
      <c r="AQ287" s="156">
        <v>0</v>
      </c>
      <c r="AR287" s="156">
        <v>0</v>
      </c>
      <c r="AS287" s="156">
        <v>0</v>
      </c>
      <c r="AT287" s="156">
        <f t="shared" si="43"/>
        <v>73359.320000000007</v>
      </c>
    </row>
    <row r="288" spans="1:46" ht="11.25" hidden="1" outlineLevel="3">
      <c r="A288" s="155" t="s">
        <v>145</v>
      </c>
      <c r="B288" s="155" t="s">
        <v>147</v>
      </c>
      <c r="C288" s="155" t="s">
        <v>133</v>
      </c>
      <c r="D288" s="156" t="s">
        <v>66</v>
      </c>
      <c r="E288" s="156" t="s">
        <v>140</v>
      </c>
      <c r="F288" s="157">
        <v>0</v>
      </c>
      <c r="G288" s="157">
        <v>496280</v>
      </c>
      <c r="H288" s="156">
        <v>39831.47</v>
      </c>
      <c r="I288" s="156">
        <v>0</v>
      </c>
      <c r="J288" s="156">
        <v>0</v>
      </c>
      <c r="K288" s="156">
        <v>0</v>
      </c>
      <c r="L288" s="156">
        <v>0</v>
      </c>
      <c r="M288" s="156">
        <v>14491.37</v>
      </c>
      <c r="N288" s="156">
        <f t="shared" si="42"/>
        <v>14491.37</v>
      </c>
      <c r="O288" s="156">
        <v>0</v>
      </c>
      <c r="P288" s="156">
        <v>0</v>
      </c>
      <c r="Q288" s="156">
        <v>655.09</v>
      </c>
      <c r="R288" s="156">
        <v>0</v>
      </c>
      <c r="S288" s="156">
        <v>0</v>
      </c>
      <c r="T288" s="156">
        <v>0</v>
      </c>
      <c r="U288" s="156">
        <v>0</v>
      </c>
      <c r="V288" s="156">
        <v>0</v>
      </c>
      <c r="W288" s="156">
        <v>0</v>
      </c>
      <c r="X288" s="156">
        <v>0</v>
      </c>
      <c r="Y288" s="156">
        <v>0</v>
      </c>
      <c r="Z288" s="156">
        <v>0</v>
      </c>
      <c r="AA288" s="156">
        <v>0</v>
      </c>
      <c r="AB288" s="156">
        <v>0</v>
      </c>
      <c r="AC288" s="156">
        <v>0</v>
      </c>
      <c r="AD288" s="156">
        <v>0</v>
      </c>
      <c r="AE288" s="156">
        <v>0</v>
      </c>
      <c r="AF288" s="156">
        <v>0</v>
      </c>
      <c r="AG288" s="156">
        <v>0</v>
      </c>
      <c r="AH288" s="156">
        <v>0</v>
      </c>
      <c r="AI288" s="156">
        <v>0</v>
      </c>
      <c r="AJ288" s="156">
        <v>0</v>
      </c>
      <c r="AK288" s="156">
        <v>0</v>
      </c>
      <c r="AL288" s="156">
        <v>1445.66</v>
      </c>
      <c r="AM288" s="156">
        <v>0</v>
      </c>
      <c r="AN288" s="156">
        <v>0</v>
      </c>
      <c r="AO288" s="156">
        <v>5121.3900000000003</v>
      </c>
      <c r="AP288" s="156">
        <v>0</v>
      </c>
      <c r="AQ288" s="156">
        <v>0</v>
      </c>
      <c r="AR288" s="156">
        <v>0</v>
      </c>
      <c r="AS288" s="156">
        <v>0</v>
      </c>
      <c r="AT288" s="156">
        <f t="shared" si="43"/>
        <v>60099.32</v>
      </c>
    </row>
    <row r="289" spans="1:46" ht="11.25" hidden="1" outlineLevel="3">
      <c r="A289" s="155" t="s">
        <v>152</v>
      </c>
      <c r="B289" s="155" t="s">
        <v>153</v>
      </c>
      <c r="C289" s="155" t="s">
        <v>133</v>
      </c>
      <c r="D289" s="156" t="s">
        <v>66</v>
      </c>
      <c r="E289" s="156" t="s">
        <v>140</v>
      </c>
      <c r="F289" s="157">
        <v>0</v>
      </c>
      <c r="G289" s="157">
        <v>2211910</v>
      </c>
      <c r="H289" s="156">
        <v>209660.78</v>
      </c>
      <c r="I289" s="156">
        <v>4305.7</v>
      </c>
      <c r="J289" s="156">
        <v>0</v>
      </c>
      <c r="K289" s="156">
        <v>6598.7</v>
      </c>
      <c r="L289" s="156">
        <v>0</v>
      </c>
      <c r="M289" s="156">
        <v>0</v>
      </c>
      <c r="N289" s="156">
        <f t="shared" si="42"/>
        <v>6598.7</v>
      </c>
      <c r="O289" s="156">
        <v>0</v>
      </c>
      <c r="P289" s="156">
        <v>0</v>
      </c>
      <c r="Q289" s="156">
        <v>0</v>
      </c>
      <c r="R289" s="156">
        <v>0</v>
      </c>
      <c r="S289" s="156">
        <v>0</v>
      </c>
      <c r="T289" s="156">
        <v>436.32</v>
      </c>
      <c r="U289" s="156">
        <v>0</v>
      </c>
      <c r="V289" s="156">
        <v>0</v>
      </c>
      <c r="W289" s="156">
        <v>0</v>
      </c>
      <c r="X289" s="156">
        <v>0</v>
      </c>
      <c r="Y289" s="156">
        <v>0</v>
      </c>
      <c r="Z289" s="156">
        <v>1405.22</v>
      </c>
      <c r="AA289" s="156">
        <v>0</v>
      </c>
      <c r="AB289" s="156">
        <v>0</v>
      </c>
      <c r="AC289" s="156">
        <v>0</v>
      </c>
      <c r="AD289" s="156">
        <v>-1012</v>
      </c>
      <c r="AE289" s="156">
        <v>0</v>
      </c>
      <c r="AF289" s="156">
        <v>0</v>
      </c>
      <c r="AG289" s="156">
        <v>0</v>
      </c>
      <c r="AH289" s="156">
        <v>0</v>
      </c>
      <c r="AI289" s="156">
        <v>3332.31</v>
      </c>
      <c r="AJ289" s="156">
        <v>0</v>
      </c>
      <c r="AK289" s="156">
        <v>0</v>
      </c>
      <c r="AL289" s="156">
        <v>9490.92</v>
      </c>
      <c r="AM289" s="156">
        <v>-8184.08</v>
      </c>
      <c r="AN289" s="156">
        <v>0</v>
      </c>
      <c r="AO289" s="156">
        <v>0</v>
      </c>
      <c r="AP289" s="156">
        <v>0</v>
      </c>
      <c r="AQ289" s="156">
        <v>0</v>
      </c>
      <c r="AR289" s="156">
        <v>0</v>
      </c>
      <c r="AS289" s="156">
        <v>0</v>
      </c>
      <c r="AT289" s="156">
        <f t="shared" si="43"/>
        <v>214222.64000000004</v>
      </c>
    </row>
    <row r="290" spans="1:46" ht="11.25" hidden="1" outlineLevel="3">
      <c r="A290" s="155" t="s">
        <v>152</v>
      </c>
      <c r="B290" s="155" t="s">
        <v>154</v>
      </c>
      <c r="C290" s="155" t="s">
        <v>133</v>
      </c>
      <c r="D290" s="156" t="s">
        <v>66</v>
      </c>
      <c r="E290" s="156" t="s">
        <v>140</v>
      </c>
      <c r="F290" s="157">
        <v>0</v>
      </c>
      <c r="G290" s="157">
        <v>845680</v>
      </c>
      <c r="H290" s="156">
        <v>85970.09</v>
      </c>
      <c r="I290" s="156">
        <v>2611.2199999999998</v>
      </c>
      <c r="J290" s="156">
        <v>0</v>
      </c>
      <c r="K290" s="156">
        <v>1770.27</v>
      </c>
      <c r="L290" s="156">
        <v>0</v>
      </c>
      <c r="M290" s="156">
        <v>0</v>
      </c>
      <c r="N290" s="156">
        <f t="shared" si="42"/>
        <v>1770.27</v>
      </c>
      <c r="O290" s="156">
        <v>0</v>
      </c>
      <c r="P290" s="156">
        <v>0</v>
      </c>
      <c r="Q290" s="156">
        <v>0</v>
      </c>
      <c r="R290" s="156">
        <v>0</v>
      </c>
      <c r="S290" s="156">
        <v>0</v>
      </c>
      <c r="T290" s="156">
        <v>0</v>
      </c>
      <c r="U290" s="156">
        <v>0</v>
      </c>
      <c r="V290" s="156">
        <v>0</v>
      </c>
      <c r="W290" s="156">
        <v>0</v>
      </c>
      <c r="X290" s="156">
        <v>0</v>
      </c>
      <c r="Y290" s="156">
        <v>0</v>
      </c>
      <c r="Z290" s="156">
        <v>600.44000000000005</v>
      </c>
      <c r="AA290" s="156">
        <v>0</v>
      </c>
      <c r="AB290" s="156">
        <v>0</v>
      </c>
      <c r="AC290" s="156">
        <v>0</v>
      </c>
      <c r="AD290" s="156">
        <v>0</v>
      </c>
      <c r="AE290" s="156">
        <v>0</v>
      </c>
      <c r="AF290" s="156">
        <v>0</v>
      </c>
      <c r="AG290" s="156">
        <v>0</v>
      </c>
      <c r="AH290" s="156">
        <v>0</v>
      </c>
      <c r="AI290" s="156">
        <v>192.46</v>
      </c>
      <c r="AJ290" s="156">
        <v>0</v>
      </c>
      <c r="AK290" s="156">
        <v>0</v>
      </c>
      <c r="AL290" s="156">
        <v>3604.28</v>
      </c>
      <c r="AM290" s="156">
        <v>-3129.02</v>
      </c>
      <c r="AN290" s="156">
        <v>0</v>
      </c>
      <c r="AO290" s="156">
        <v>0</v>
      </c>
      <c r="AP290" s="156">
        <v>0</v>
      </c>
      <c r="AQ290" s="156">
        <v>0</v>
      </c>
      <c r="AR290" s="156">
        <v>0</v>
      </c>
      <c r="AS290" s="156">
        <v>0</v>
      </c>
      <c r="AT290" s="156">
        <f t="shared" si="43"/>
        <v>87823</v>
      </c>
    </row>
    <row r="291" spans="1:46" ht="11.25" hidden="1" outlineLevel="3">
      <c r="A291" s="155" t="s">
        <v>152</v>
      </c>
      <c r="B291" s="155" t="s">
        <v>132</v>
      </c>
      <c r="C291" s="155" t="s">
        <v>133</v>
      </c>
      <c r="D291" s="156" t="s">
        <v>66</v>
      </c>
      <c r="E291" s="156" t="s">
        <v>140</v>
      </c>
      <c r="F291" s="157">
        <v>0</v>
      </c>
      <c r="G291" s="157">
        <v>106299</v>
      </c>
      <c r="H291" s="156">
        <v>9192.0300000000007</v>
      </c>
      <c r="I291" s="156">
        <v>0</v>
      </c>
      <c r="J291" s="156">
        <v>0</v>
      </c>
      <c r="K291" s="156">
        <v>-11.65</v>
      </c>
      <c r="L291" s="156">
        <v>0</v>
      </c>
      <c r="M291" s="156">
        <v>0</v>
      </c>
      <c r="N291" s="156">
        <f t="shared" si="42"/>
        <v>-11.65</v>
      </c>
      <c r="O291" s="156">
        <v>0</v>
      </c>
      <c r="P291" s="156">
        <v>0</v>
      </c>
      <c r="Q291" s="156">
        <v>0</v>
      </c>
      <c r="R291" s="156">
        <v>0</v>
      </c>
      <c r="S291" s="156">
        <v>0</v>
      </c>
      <c r="T291" s="156">
        <v>0</v>
      </c>
      <c r="U291" s="156">
        <v>0</v>
      </c>
      <c r="V291" s="156">
        <v>0</v>
      </c>
      <c r="W291" s="156">
        <v>0</v>
      </c>
      <c r="X291" s="156">
        <v>0</v>
      </c>
      <c r="Y291" s="156">
        <v>0</v>
      </c>
      <c r="Z291" s="156">
        <v>0</v>
      </c>
      <c r="AA291" s="156">
        <v>0</v>
      </c>
      <c r="AB291" s="156">
        <v>0</v>
      </c>
      <c r="AC291" s="156">
        <v>0</v>
      </c>
      <c r="AD291" s="156">
        <v>0</v>
      </c>
      <c r="AE291" s="156">
        <v>0</v>
      </c>
      <c r="AF291" s="156">
        <v>0</v>
      </c>
      <c r="AG291" s="156">
        <v>0</v>
      </c>
      <c r="AH291" s="156">
        <v>0</v>
      </c>
      <c r="AI291" s="156">
        <v>0</v>
      </c>
      <c r="AJ291" s="156">
        <v>0</v>
      </c>
      <c r="AK291" s="156">
        <v>0</v>
      </c>
      <c r="AL291" s="156">
        <v>362.48</v>
      </c>
      <c r="AM291" s="156">
        <v>-393.3</v>
      </c>
      <c r="AN291" s="156">
        <v>0</v>
      </c>
      <c r="AO291" s="156">
        <v>0</v>
      </c>
      <c r="AP291" s="156">
        <v>0</v>
      </c>
      <c r="AQ291" s="156">
        <v>0</v>
      </c>
      <c r="AR291" s="156">
        <v>0</v>
      </c>
      <c r="AS291" s="156">
        <v>0</v>
      </c>
      <c r="AT291" s="156">
        <f t="shared" si="43"/>
        <v>8787.0800000000017</v>
      </c>
    </row>
    <row r="292" spans="1:46" ht="11.25" hidden="1" outlineLevel="3">
      <c r="A292" s="155" t="s">
        <v>152</v>
      </c>
      <c r="B292" s="155" t="s">
        <v>157</v>
      </c>
      <c r="C292" s="155" t="s">
        <v>133</v>
      </c>
      <c r="D292" s="156" t="s">
        <v>66</v>
      </c>
      <c r="E292" s="156" t="s">
        <v>140</v>
      </c>
      <c r="F292" s="157">
        <v>0</v>
      </c>
      <c r="G292" s="157">
        <v>6442149</v>
      </c>
      <c r="H292" s="156">
        <v>544181.19999999995</v>
      </c>
      <c r="I292" s="156">
        <v>2916.27</v>
      </c>
      <c r="J292" s="156">
        <v>0</v>
      </c>
      <c r="K292" s="156">
        <v>16946.099999999999</v>
      </c>
      <c r="L292" s="156">
        <v>0</v>
      </c>
      <c r="M292" s="156">
        <v>0</v>
      </c>
      <c r="N292" s="156">
        <f t="shared" si="42"/>
        <v>16946.099999999999</v>
      </c>
      <c r="O292" s="156">
        <v>0</v>
      </c>
      <c r="P292" s="156">
        <v>0</v>
      </c>
      <c r="Q292" s="156">
        <v>0</v>
      </c>
      <c r="R292" s="156">
        <v>0</v>
      </c>
      <c r="S292" s="156">
        <v>0</v>
      </c>
      <c r="T292" s="156">
        <v>2761.25</v>
      </c>
      <c r="U292" s="156">
        <v>0</v>
      </c>
      <c r="V292" s="156">
        <v>0</v>
      </c>
      <c r="W292" s="156">
        <v>0</v>
      </c>
      <c r="X292" s="156">
        <v>0</v>
      </c>
      <c r="Y292" s="156">
        <v>0</v>
      </c>
      <c r="Z292" s="156">
        <v>3053.77</v>
      </c>
      <c r="AA292" s="156">
        <v>0</v>
      </c>
      <c r="AB292" s="156">
        <v>0</v>
      </c>
      <c r="AC292" s="156">
        <v>0</v>
      </c>
      <c r="AD292" s="156">
        <v>0</v>
      </c>
      <c r="AE292" s="156">
        <v>0</v>
      </c>
      <c r="AF292" s="156">
        <v>0</v>
      </c>
      <c r="AG292" s="156">
        <v>0</v>
      </c>
      <c r="AH292" s="156">
        <v>0</v>
      </c>
      <c r="AI292" s="156">
        <v>1730.5</v>
      </c>
      <c r="AJ292" s="156">
        <v>0</v>
      </c>
      <c r="AK292" s="156">
        <v>0</v>
      </c>
      <c r="AL292" s="156">
        <v>21861.39</v>
      </c>
      <c r="AM292" s="156">
        <v>-23835.96</v>
      </c>
      <c r="AN292" s="156">
        <v>0</v>
      </c>
      <c r="AO292" s="156">
        <v>0</v>
      </c>
      <c r="AP292" s="156">
        <v>0</v>
      </c>
      <c r="AQ292" s="156">
        <v>0</v>
      </c>
      <c r="AR292" s="156">
        <v>0</v>
      </c>
      <c r="AS292" s="156">
        <v>0</v>
      </c>
      <c r="AT292" s="156">
        <f t="shared" si="43"/>
        <v>546022.63</v>
      </c>
    </row>
    <row r="293" spans="1:46" ht="11.25" hidden="1" outlineLevel="3">
      <c r="A293" s="155" t="s">
        <v>152</v>
      </c>
      <c r="B293" s="155" t="s">
        <v>137</v>
      </c>
      <c r="C293" s="155" t="s">
        <v>133</v>
      </c>
      <c r="D293" s="156" t="s">
        <v>66</v>
      </c>
      <c r="E293" s="156" t="s">
        <v>140</v>
      </c>
      <c r="F293" s="157">
        <v>0</v>
      </c>
      <c r="G293" s="157">
        <v>989483</v>
      </c>
      <c r="H293" s="156">
        <v>102954.94</v>
      </c>
      <c r="I293" s="156">
        <v>0</v>
      </c>
      <c r="J293" s="156">
        <v>0</v>
      </c>
      <c r="K293" s="156">
        <v>1442.71</v>
      </c>
      <c r="L293" s="156">
        <v>0</v>
      </c>
      <c r="M293" s="156">
        <v>0</v>
      </c>
      <c r="N293" s="156">
        <f t="shared" si="42"/>
        <v>1442.71</v>
      </c>
      <c r="O293" s="156">
        <v>0</v>
      </c>
      <c r="P293" s="156">
        <v>0</v>
      </c>
      <c r="Q293" s="156">
        <v>0</v>
      </c>
      <c r="R293" s="156">
        <v>0</v>
      </c>
      <c r="S293" s="156">
        <v>0</v>
      </c>
      <c r="T293" s="156">
        <v>6576.12</v>
      </c>
      <c r="U293" s="156">
        <v>0</v>
      </c>
      <c r="V293" s="156">
        <v>0</v>
      </c>
      <c r="W293" s="156">
        <v>0</v>
      </c>
      <c r="X293" s="156">
        <v>0</v>
      </c>
      <c r="Y293" s="156">
        <v>0</v>
      </c>
      <c r="Z293" s="156">
        <v>500.46</v>
      </c>
      <c r="AA293" s="156">
        <v>0</v>
      </c>
      <c r="AB293" s="156">
        <v>0</v>
      </c>
      <c r="AC293" s="156">
        <v>0</v>
      </c>
      <c r="AD293" s="156">
        <v>0</v>
      </c>
      <c r="AE293" s="156">
        <v>0</v>
      </c>
      <c r="AF293" s="156">
        <v>0</v>
      </c>
      <c r="AG293" s="156">
        <v>0</v>
      </c>
      <c r="AH293" s="156">
        <v>0</v>
      </c>
      <c r="AI293" s="156">
        <v>1425.4</v>
      </c>
      <c r="AJ293" s="156">
        <v>0</v>
      </c>
      <c r="AK293" s="156">
        <v>0</v>
      </c>
      <c r="AL293" s="156">
        <v>4782.99</v>
      </c>
      <c r="AM293" s="156">
        <v>-3661.09</v>
      </c>
      <c r="AN293" s="156">
        <v>0</v>
      </c>
      <c r="AO293" s="156">
        <v>0</v>
      </c>
      <c r="AP293" s="156">
        <v>0</v>
      </c>
      <c r="AQ293" s="156">
        <v>0</v>
      </c>
      <c r="AR293" s="156">
        <v>0</v>
      </c>
      <c r="AS293" s="156">
        <v>0</v>
      </c>
      <c r="AT293" s="156">
        <f t="shared" si="43"/>
        <v>107813.14000000001</v>
      </c>
    </row>
    <row r="294" spans="1:46" ht="11.25" hidden="1" outlineLevel="3">
      <c r="A294" s="155" t="s">
        <v>152</v>
      </c>
      <c r="B294" s="155" t="s">
        <v>158</v>
      </c>
      <c r="C294" s="155" t="s">
        <v>133</v>
      </c>
      <c r="D294" s="156" t="s">
        <v>66</v>
      </c>
      <c r="E294" s="156" t="s">
        <v>140</v>
      </c>
      <c r="F294" s="157">
        <v>0</v>
      </c>
      <c r="G294" s="157">
        <v>390795</v>
      </c>
      <c r="H294" s="156">
        <v>39274.730000000003</v>
      </c>
      <c r="I294" s="156">
        <v>325.62</v>
      </c>
      <c r="J294" s="156">
        <v>0</v>
      </c>
      <c r="K294" s="156">
        <v>605.01</v>
      </c>
      <c r="L294" s="156">
        <v>0</v>
      </c>
      <c r="M294" s="156">
        <v>0</v>
      </c>
      <c r="N294" s="156">
        <f t="shared" si="42"/>
        <v>605.01</v>
      </c>
      <c r="O294" s="156">
        <v>0</v>
      </c>
      <c r="P294" s="156">
        <v>0</v>
      </c>
      <c r="Q294" s="156">
        <v>0</v>
      </c>
      <c r="R294" s="156">
        <v>0</v>
      </c>
      <c r="S294" s="156">
        <v>0</v>
      </c>
      <c r="T294" s="156">
        <v>0</v>
      </c>
      <c r="U294" s="156">
        <v>0</v>
      </c>
      <c r="V294" s="156">
        <v>0</v>
      </c>
      <c r="W294" s="156">
        <v>0</v>
      </c>
      <c r="X294" s="156">
        <v>0</v>
      </c>
      <c r="Y294" s="156">
        <v>0</v>
      </c>
      <c r="Z294" s="156">
        <v>277.47000000000003</v>
      </c>
      <c r="AA294" s="156">
        <v>0</v>
      </c>
      <c r="AB294" s="156">
        <v>0</v>
      </c>
      <c r="AC294" s="156">
        <v>0</v>
      </c>
      <c r="AD294" s="156">
        <v>0</v>
      </c>
      <c r="AE294" s="156">
        <v>0</v>
      </c>
      <c r="AF294" s="156">
        <v>0</v>
      </c>
      <c r="AG294" s="156">
        <v>0</v>
      </c>
      <c r="AH294" s="156">
        <v>0</v>
      </c>
      <c r="AI294" s="156">
        <v>343.9</v>
      </c>
      <c r="AJ294" s="156">
        <v>0</v>
      </c>
      <c r="AK294" s="156">
        <v>0</v>
      </c>
      <c r="AL294" s="156">
        <v>2217.91</v>
      </c>
      <c r="AM294" s="156">
        <v>-1445.95</v>
      </c>
      <c r="AN294" s="156">
        <v>0</v>
      </c>
      <c r="AO294" s="156">
        <v>0</v>
      </c>
      <c r="AP294" s="156">
        <v>0</v>
      </c>
      <c r="AQ294" s="156">
        <v>0</v>
      </c>
      <c r="AR294" s="156">
        <v>0</v>
      </c>
      <c r="AS294" s="156">
        <v>0</v>
      </c>
      <c r="AT294" s="156">
        <f t="shared" si="43"/>
        <v>39036.880000000012</v>
      </c>
    </row>
    <row r="295" spans="1:46" ht="11.25" hidden="1" outlineLevel="3">
      <c r="A295" s="155" t="s">
        <v>152</v>
      </c>
      <c r="B295" s="155" t="s">
        <v>160</v>
      </c>
      <c r="C295" s="155" t="s">
        <v>133</v>
      </c>
      <c r="D295" s="156" t="s">
        <v>66</v>
      </c>
      <c r="E295" s="156" t="s">
        <v>140</v>
      </c>
      <c r="F295" s="157">
        <v>0</v>
      </c>
      <c r="G295" s="157">
        <v>2024055</v>
      </c>
      <c r="H295" s="156">
        <v>207879.88</v>
      </c>
      <c r="I295" s="156">
        <v>80</v>
      </c>
      <c r="J295" s="156">
        <v>0</v>
      </c>
      <c r="K295" s="156">
        <v>5992.75</v>
      </c>
      <c r="L295" s="156">
        <v>0</v>
      </c>
      <c r="M295" s="156">
        <v>0</v>
      </c>
      <c r="N295" s="156">
        <f t="shared" si="42"/>
        <v>5992.75</v>
      </c>
      <c r="O295" s="156">
        <v>0</v>
      </c>
      <c r="P295" s="156">
        <v>0</v>
      </c>
      <c r="Q295" s="156">
        <v>0</v>
      </c>
      <c r="R295" s="156">
        <v>0</v>
      </c>
      <c r="S295" s="156">
        <v>0</v>
      </c>
      <c r="T295" s="156">
        <v>746.02</v>
      </c>
      <c r="U295" s="156">
        <v>0</v>
      </c>
      <c r="V295" s="156">
        <v>0</v>
      </c>
      <c r="W295" s="156">
        <v>0</v>
      </c>
      <c r="X295" s="156">
        <v>0</v>
      </c>
      <c r="Y295" s="156">
        <v>0</v>
      </c>
      <c r="Z295" s="156">
        <v>1212.94</v>
      </c>
      <c r="AA295" s="156">
        <v>0</v>
      </c>
      <c r="AB295" s="156">
        <v>0</v>
      </c>
      <c r="AC295" s="156">
        <v>0</v>
      </c>
      <c r="AD295" s="156">
        <v>0</v>
      </c>
      <c r="AE295" s="156">
        <v>0</v>
      </c>
      <c r="AF295" s="156">
        <v>0</v>
      </c>
      <c r="AG295" s="156">
        <v>0</v>
      </c>
      <c r="AH295" s="156">
        <v>0</v>
      </c>
      <c r="AI295" s="156">
        <v>-379.14</v>
      </c>
      <c r="AJ295" s="156">
        <v>0</v>
      </c>
      <c r="AK295" s="156">
        <v>0</v>
      </c>
      <c r="AL295" s="156">
        <v>5732.51</v>
      </c>
      <c r="AM295" s="156">
        <v>-7488.99</v>
      </c>
      <c r="AN295" s="156">
        <v>0</v>
      </c>
      <c r="AO295" s="156">
        <v>0</v>
      </c>
      <c r="AP295" s="156">
        <v>0</v>
      </c>
      <c r="AQ295" s="156">
        <v>0</v>
      </c>
      <c r="AR295" s="156">
        <v>0</v>
      </c>
      <c r="AS295" s="156">
        <v>0</v>
      </c>
      <c r="AT295" s="156">
        <f t="shared" si="43"/>
        <v>208422.6</v>
      </c>
    </row>
    <row r="296" spans="1:46" ht="11.25" hidden="1" outlineLevel="3">
      <c r="A296" s="155" t="s">
        <v>167</v>
      </c>
      <c r="B296" s="155" t="s">
        <v>146</v>
      </c>
      <c r="C296" s="155" t="s">
        <v>133</v>
      </c>
      <c r="D296" s="156" t="s">
        <v>66</v>
      </c>
      <c r="E296" s="156" t="s">
        <v>140</v>
      </c>
      <c r="F296" s="157">
        <v>0</v>
      </c>
      <c r="G296" s="157">
        <v>294053</v>
      </c>
      <c r="H296" s="156">
        <v>23993.82</v>
      </c>
      <c r="I296" s="156">
        <v>53.59</v>
      </c>
      <c r="J296" s="156">
        <v>8077.04</v>
      </c>
      <c r="K296" s="156">
        <v>0</v>
      </c>
      <c r="L296" s="156">
        <v>0</v>
      </c>
      <c r="M296" s="156">
        <v>0</v>
      </c>
      <c r="N296" s="156">
        <f t="shared" si="42"/>
        <v>8077.04</v>
      </c>
      <c r="O296" s="156">
        <v>0</v>
      </c>
      <c r="P296" s="156">
        <v>0</v>
      </c>
      <c r="Q296" s="156">
        <v>0</v>
      </c>
      <c r="R296" s="156">
        <v>0</v>
      </c>
      <c r="S296" s="156">
        <v>0</v>
      </c>
      <c r="T296" s="156">
        <v>2045.83</v>
      </c>
      <c r="U296" s="156">
        <v>0</v>
      </c>
      <c r="V296" s="156">
        <v>0</v>
      </c>
      <c r="W296" s="156">
        <v>0</v>
      </c>
      <c r="X296" s="156">
        <v>91.16</v>
      </c>
      <c r="Y296" s="156">
        <v>0</v>
      </c>
      <c r="Z296" s="156">
        <v>0</v>
      </c>
      <c r="AA296" s="156">
        <v>0</v>
      </c>
      <c r="AB296" s="156">
        <v>0</v>
      </c>
      <c r="AC296" s="156">
        <v>0</v>
      </c>
      <c r="AD296" s="156">
        <v>0</v>
      </c>
      <c r="AE296" s="156">
        <v>0</v>
      </c>
      <c r="AF296" s="156">
        <v>0</v>
      </c>
      <c r="AG296" s="156">
        <v>0</v>
      </c>
      <c r="AH296" s="156">
        <v>0</v>
      </c>
      <c r="AI296" s="156">
        <v>430.89</v>
      </c>
      <c r="AJ296" s="156">
        <v>0</v>
      </c>
      <c r="AK296" s="156">
        <v>0</v>
      </c>
      <c r="AL296" s="156">
        <v>2842.58</v>
      </c>
      <c r="AM296" s="156">
        <v>-2423</v>
      </c>
      <c r="AN296" s="156">
        <v>0</v>
      </c>
      <c r="AO296" s="156">
        <v>0</v>
      </c>
      <c r="AP296" s="156">
        <v>0</v>
      </c>
      <c r="AQ296" s="156">
        <v>0</v>
      </c>
      <c r="AR296" s="156">
        <v>0</v>
      </c>
      <c r="AS296" s="156">
        <v>0</v>
      </c>
      <c r="AT296" s="156">
        <f t="shared" si="43"/>
        <v>31838.440000000002</v>
      </c>
    </row>
    <row r="297" spans="1:46" ht="11.25" outlineLevel="2" collapsed="1">
      <c r="D297" s="156"/>
      <c r="E297" s="156" t="s">
        <v>220</v>
      </c>
      <c r="F297" s="157">
        <v>172</v>
      </c>
      <c r="G297" s="157">
        <f t="shared" ref="G297:AT297" si="44">SUBTOTAL(9,G286:G296)</f>
        <v>14894604</v>
      </c>
      <c r="H297" s="156">
        <f t="shared" si="44"/>
        <v>1341546.3099999998</v>
      </c>
      <c r="I297" s="156">
        <f t="shared" si="44"/>
        <v>10617.400000000001</v>
      </c>
      <c r="J297" s="156">
        <f t="shared" si="44"/>
        <v>8077.04</v>
      </c>
      <c r="K297" s="156">
        <f t="shared" si="44"/>
        <v>33343.89</v>
      </c>
      <c r="L297" s="156">
        <f t="shared" si="44"/>
        <v>13738.44</v>
      </c>
      <c r="M297" s="156">
        <f t="shared" si="44"/>
        <v>33063.730000000003</v>
      </c>
      <c r="N297" s="156">
        <f t="shared" si="44"/>
        <v>88223.099999999991</v>
      </c>
      <c r="O297" s="156">
        <f t="shared" si="44"/>
        <v>1418.13</v>
      </c>
      <c r="P297" s="156">
        <f t="shared" si="44"/>
        <v>2448.54</v>
      </c>
      <c r="Q297" s="156">
        <f t="shared" si="44"/>
        <v>1477.1399999999999</v>
      </c>
      <c r="R297" s="156">
        <f t="shared" si="44"/>
        <v>0</v>
      </c>
      <c r="S297" s="156">
        <f t="shared" si="44"/>
        <v>0</v>
      </c>
      <c r="T297" s="156">
        <f t="shared" si="44"/>
        <v>12625.54</v>
      </c>
      <c r="U297" s="156">
        <f t="shared" si="44"/>
        <v>0</v>
      </c>
      <c r="V297" s="156">
        <f t="shared" si="44"/>
        <v>0</v>
      </c>
      <c r="W297" s="156">
        <f t="shared" si="44"/>
        <v>0</v>
      </c>
      <c r="X297" s="156">
        <f t="shared" si="44"/>
        <v>91.16</v>
      </c>
      <c r="Y297" s="156">
        <f t="shared" si="44"/>
        <v>942.28</v>
      </c>
      <c r="Z297" s="156">
        <f t="shared" si="44"/>
        <v>7050.3000000000011</v>
      </c>
      <c r="AA297" s="156">
        <f t="shared" si="44"/>
        <v>1542.17</v>
      </c>
      <c r="AB297" s="156">
        <f t="shared" si="44"/>
        <v>0</v>
      </c>
      <c r="AC297" s="156">
        <f t="shared" si="44"/>
        <v>0</v>
      </c>
      <c r="AD297" s="156">
        <f t="shared" si="44"/>
        <v>-1012</v>
      </c>
      <c r="AE297" s="156">
        <f t="shared" si="44"/>
        <v>0</v>
      </c>
      <c r="AF297" s="156">
        <f t="shared" si="44"/>
        <v>0</v>
      </c>
      <c r="AG297" s="156">
        <f t="shared" si="44"/>
        <v>0</v>
      </c>
      <c r="AH297" s="156">
        <f t="shared" si="44"/>
        <v>0</v>
      </c>
      <c r="AI297" s="156">
        <f t="shared" si="44"/>
        <v>7702.8799999999992</v>
      </c>
      <c r="AJ297" s="156">
        <f t="shared" si="44"/>
        <v>0</v>
      </c>
      <c r="AK297" s="156">
        <f t="shared" si="44"/>
        <v>0</v>
      </c>
      <c r="AL297" s="156">
        <f t="shared" si="44"/>
        <v>58304.38</v>
      </c>
      <c r="AM297" s="156">
        <f t="shared" si="44"/>
        <v>-57148.259999999987</v>
      </c>
      <c r="AN297" s="156">
        <f t="shared" si="44"/>
        <v>0</v>
      </c>
      <c r="AO297" s="156">
        <f t="shared" si="44"/>
        <v>11041.34</v>
      </c>
      <c r="AP297" s="156">
        <f t="shared" si="44"/>
        <v>0</v>
      </c>
      <c r="AQ297" s="156">
        <f t="shared" si="44"/>
        <v>0</v>
      </c>
      <c r="AR297" s="156">
        <f t="shared" si="44"/>
        <v>0</v>
      </c>
      <c r="AS297" s="156">
        <f t="shared" si="44"/>
        <v>0</v>
      </c>
      <c r="AT297" s="156">
        <f t="shared" si="44"/>
        <v>1421875.1500000001</v>
      </c>
    </row>
    <row r="298" spans="1:46" ht="11.25" hidden="1" outlineLevel="3">
      <c r="A298" s="155" t="s">
        <v>152</v>
      </c>
      <c r="B298" s="155" t="s">
        <v>153</v>
      </c>
      <c r="C298" s="155" t="s">
        <v>133</v>
      </c>
      <c r="D298" s="156" t="s">
        <v>66</v>
      </c>
      <c r="E298" s="156" t="s">
        <v>163</v>
      </c>
      <c r="F298" s="157">
        <v>0</v>
      </c>
      <c r="G298" s="157">
        <v>2825403</v>
      </c>
      <c r="H298" s="156">
        <v>220158.7</v>
      </c>
      <c r="I298" s="156">
        <v>0</v>
      </c>
      <c r="J298" s="156">
        <v>0</v>
      </c>
      <c r="K298" s="156">
        <v>9747.64</v>
      </c>
      <c r="L298" s="156">
        <v>0</v>
      </c>
      <c r="M298" s="156">
        <v>0</v>
      </c>
      <c r="N298" s="156">
        <f>J298+K298+L298+M298</f>
        <v>9747.64</v>
      </c>
      <c r="O298" s="156">
        <v>0</v>
      </c>
      <c r="P298" s="156">
        <v>0</v>
      </c>
      <c r="Q298" s="156">
        <v>0</v>
      </c>
      <c r="R298" s="156">
        <v>0</v>
      </c>
      <c r="S298" s="156">
        <v>0</v>
      </c>
      <c r="T298" s="156">
        <v>3621.7</v>
      </c>
      <c r="U298" s="156">
        <v>0</v>
      </c>
      <c r="V298" s="156">
        <v>0</v>
      </c>
      <c r="W298" s="156">
        <v>0</v>
      </c>
      <c r="X298" s="156">
        <v>0</v>
      </c>
      <c r="Y298" s="156">
        <v>0</v>
      </c>
      <c r="Z298" s="156">
        <v>541.02</v>
      </c>
      <c r="AA298" s="156">
        <v>0</v>
      </c>
      <c r="AB298" s="156">
        <v>0</v>
      </c>
      <c r="AC298" s="156">
        <v>0</v>
      </c>
      <c r="AD298" s="156">
        <v>0</v>
      </c>
      <c r="AE298" s="156">
        <v>0</v>
      </c>
      <c r="AF298" s="156">
        <v>0</v>
      </c>
      <c r="AG298" s="156">
        <v>0</v>
      </c>
      <c r="AH298" s="156">
        <v>0</v>
      </c>
      <c r="AI298" s="156">
        <v>0</v>
      </c>
      <c r="AJ298" s="156">
        <v>0</v>
      </c>
      <c r="AK298" s="156">
        <v>0</v>
      </c>
      <c r="AL298" s="156">
        <v>4737.51</v>
      </c>
      <c r="AM298" s="156">
        <v>-8419.7000000000007</v>
      </c>
      <c r="AN298" s="156">
        <v>0</v>
      </c>
      <c r="AO298" s="156">
        <v>0</v>
      </c>
      <c r="AP298" s="156">
        <v>0</v>
      </c>
      <c r="AQ298" s="156">
        <v>0</v>
      </c>
      <c r="AR298" s="156">
        <v>0</v>
      </c>
      <c r="AS298" s="156">
        <v>0</v>
      </c>
      <c r="AT298" s="156">
        <f>H298+I298+N298+O298+P298+Q298+T298+X298+Y298+Z298+AA298+AB298+AM298+AO298</f>
        <v>225649.36000000002</v>
      </c>
    </row>
    <row r="299" spans="1:46" ht="11.25" hidden="1" outlineLevel="3">
      <c r="A299" s="155" t="s">
        <v>152</v>
      </c>
      <c r="B299" s="155" t="s">
        <v>154</v>
      </c>
      <c r="C299" s="155" t="s">
        <v>133</v>
      </c>
      <c r="D299" s="156" t="s">
        <v>66</v>
      </c>
      <c r="E299" s="156" t="s">
        <v>163</v>
      </c>
      <c r="F299" s="157">
        <v>0</v>
      </c>
      <c r="G299" s="157">
        <v>9600</v>
      </c>
      <c r="H299" s="156">
        <v>9524.16</v>
      </c>
      <c r="I299" s="156">
        <v>0</v>
      </c>
      <c r="J299" s="156">
        <v>0</v>
      </c>
      <c r="K299" s="156">
        <v>33.119999999999997</v>
      </c>
      <c r="L299" s="156">
        <v>0</v>
      </c>
      <c r="M299" s="156">
        <v>0</v>
      </c>
      <c r="N299" s="156">
        <f>J299+K299+L299+M299</f>
        <v>33.119999999999997</v>
      </c>
      <c r="O299" s="156">
        <v>0</v>
      </c>
      <c r="P299" s="156">
        <v>0</v>
      </c>
      <c r="Q299" s="156">
        <v>0</v>
      </c>
      <c r="R299" s="156">
        <v>0</v>
      </c>
      <c r="S299" s="156">
        <v>0</v>
      </c>
      <c r="T299" s="156">
        <v>0</v>
      </c>
      <c r="U299" s="156">
        <v>0</v>
      </c>
      <c r="V299" s="156">
        <v>0</v>
      </c>
      <c r="W299" s="156">
        <v>0</v>
      </c>
      <c r="X299" s="156">
        <v>0</v>
      </c>
      <c r="Y299" s="156">
        <v>0</v>
      </c>
      <c r="Z299" s="156">
        <v>6.82</v>
      </c>
      <c r="AA299" s="156">
        <v>0</v>
      </c>
      <c r="AB299" s="156">
        <v>0</v>
      </c>
      <c r="AC299" s="156">
        <v>0</v>
      </c>
      <c r="AD299" s="156">
        <v>0</v>
      </c>
      <c r="AE299" s="156">
        <v>0</v>
      </c>
      <c r="AF299" s="156">
        <v>0</v>
      </c>
      <c r="AG299" s="156">
        <v>0</v>
      </c>
      <c r="AH299" s="156">
        <v>0</v>
      </c>
      <c r="AI299" s="156">
        <v>0</v>
      </c>
      <c r="AJ299" s="156">
        <v>0</v>
      </c>
      <c r="AK299" s="156">
        <v>0</v>
      </c>
      <c r="AL299" s="156">
        <v>0</v>
      </c>
      <c r="AM299" s="156">
        <v>-28.61</v>
      </c>
      <c r="AN299" s="156">
        <v>0</v>
      </c>
      <c r="AO299" s="156">
        <v>0</v>
      </c>
      <c r="AP299" s="156">
        <v>0</v>
      </c>
      <c r="AQ299" s="156">
        <v>0</v>
      </c>
      <c r="AR299" s="156">
        <v>0</v>
      </c>
      <c r="AS299" s="156">
        <v>0</v>
      </c>
      <c r="AT299" s="156">
        <f>H299+I299+N299+O299+P299+Q299+T299+X299+Y299+Z299+AA299+AB299+AM299+AO299</f>
        <v>9535.49</v>
      </c>
    </row>
    <row r="300" spans="1:46" ht="11.25" hidden="1" outlineLevel="3">
      <c r="A300" s="155" t="s">
        <v>152</v>
      </c>
      <c r="B300" s="155" t="s">
        <v>157</v>
      </c>
      <c r="C300" s="155" t="s">
        <v>133</v>
      </c>
      <c r="D300" s="156" t="s">
        <v>66</v>
      </c>
      <c r="E300" s="156" t="s">
        <v>163</v>
      </c>
      <c r="F300" s="157">
        <v>0</v>
      </c>
      <c r="G300" s="157">
        <v>21567794</v>
      </c>
      <c r="H300" s="156">
        <v>1605123.81</v>
      </c>
      <c r="I300" s="156">
        <v>960</v>
      </c>
      <c r="J300" s="156">
        <v>0</v>
      </c>
      <c r="K300" s="156">
        <v>72788.2</v>
      </c>
      <c r="L300" s="156">
        <v>0</v>
      </c>
      <c r="M300" s="156">
        <v>0</v>
      </c>
      <c r="N300" s="156">
        <f>J300+K300+L300+M300</f>
        <v>72788.2</v>
      </c>
      <c r="O300" s="156">
        <v>0</v>
      </c>
      <c r="P300" s="156">
        <v>0</v>
      </c>
      <c r="Q300" s="156">
        <v>0</v>
      </c>
      <c r="R300" s="156">
        <v>0</v>
      </c>
      <c r="S300" s="156">
        <v>0</v>
      </c>
      <c r="T300" s="156">
        <v>26733.71</v>
      </c>
      <c r="U300" s="156">
        <v>0</v>
      </c>
      <c r="V300" s="156">
        <v>0</v>
      </c>
      <c r="W300" s="156">
        <v>0</v>
      </c>
      <c r="X300" s="156">
        <v>0</v>
      </c>
      <c r="Y300" s="156">
        <v>0</v>
      </c>
      <c r="Z300" s="156">
        <v>2930.57</v>
      </c>
      <c r="AA300" s="156">
        <v>0</v>
      </c>
      <c r="AB300" s="156">
        <v>0</v>
      </c>
      <c r="AC300" s="156">
        <v>0</v>
      </c>
      <c r="AD300" s="156">
        <v>0</v>
      </c>
      <c r="AE300" s="156">
        <v>0</v>
      </c>
      <c r="AF300" s="156">
        <v>0</v>
      </c>
      <c r="AG300" s="156">
        <v>0</v>
      </c>
      <c r="AH300" s="156">
        <v>0</v>
      </c>
      <c r="AI300" s="156">
        <v>0</v>
      </c>
      <c r="AJ300" s="156">
        <v>0</v>
      </c>
      <c r="AK300" s="156">
        <v>0</v>
      </c>
      <c r="AL300" s="156">
        <v>63307.26</v>
      </c>
      <c r="AM300" s="156">
        <v>-64272.03</v>
      </c>
      <c r="AN300" s="156">
        <v>0</v>
      </c>
      <c r="AO300" s="156">
        <v>0</v>
      </c>
      <c r="AP300" s="156">
        <v>0</v>
      </c>
      <c r="AQ300" s="156">
        <v>0</v>
      </c>
      <c r="AR300" s="156">
        <v>0</v>
      </c>
      <c r="AS300" s="156">
        <v>0</v>
      </c>
      <c r="AT300" s="156">
        <f>H300+I300+N300+O300+P300+Q300+T300+X300+Y300+Z300+AA300+AB300+AM300+AO300</f>
        <v>1644264.26</v>
      </c>
    </row>
    <row r="301" spans="1:46" ht="11.25" hidden="1" outlineLevel="3">
      <c r="A301" s="155" t="s">
        <v>152</v>
      </c>
      <c r="B301" s="155" t="s">
        <v>137</v>
      </c>
      <c r="C301" s="155" t="s">
        <v>133</v>
      </c>
      <c r="D301" s="156" t="s">
        <v>66</v>
      </c>
      <c r="E301" s="156" t="s">
        <v>163</v>
      </c>
      <c r="F301" s="157">
        <v>0</v>
      </c>
      <c r="G301" s="157">
        <v>8301376</v>
      </c>
      <c r="H301" s="156">
        <v>612508.88</v>
      </c>
      <c r="I301" s="156">
        <v>0</v>
      </c>
      <c r="J301" s="156">
        <v>0</v>
      </c>
      <c r="K301" s="156">
        <v>28639.75</v>
      </c>
      <c r="L301" s="156">
        <v>0</v>
      </c>
      <c r="M301" s="156">
        <v>0</v>
      </c>
      <c r="N301" s="156">
        <f>J301+K301+L301+M301</f>
        <v>28639.75</v>
      </c>
      <c r="O301" s="156">
        <v>0</v>
      </c>
      <c r="P301" s="156">
        <v>0</v>
      </c>
      <c r="Q301" s="156">
        <v>0</v>
      </c>
      <c r="R301" s="156">
        <v>0</v>
      </c>
      <c r="S301" s="156">
        <v>0</v>
      </c>
      <c r="T301" s="156">
        <v>11616.21</v>
      </c>
      <c r="U301" s="156">
        <v>0</v>
      </c>
      <c r="V301" s="156">
        <v>0</v>
      </c>
      <c r="W301" s="156">
        <v>0</v>
      </c>
      <c r="X301" s="156">
        <v>0</v>
      </c>
      <c r="Y301" s="156">
        <v>0</v>
      </c>
      <c r="Z301" s="156">
        <v>387.08</v>
      </c>
      <c r="AA301" s="156">
        <v>0</v>
      </c>
      <c r="AB301" s="156">
        <v>0</v>
      </c>
      <c r="AC301" s="156">
        <v>0</v>
      </c>
      <c r="AD301" s="156">
        <v>0</v>
      </c>
      <c r="AE301" s="156">
        <v>0</v>
      </c>
      <c r="AF301" s="156">
        <v>0</v>
      </c>
      <c r="AG301" s="156">
        <v>0</v>
      </c>
      <c r="AH301" s="156">
        <v>0</v>
      </c>
      <c r="AI301" s="156">
        <v>0</v>
      </c>
      <c r="AJ301" s="156">
        <v>0</v>
      </c>
      <c r="AK301" s="156">
        <v>0</v>
      </c>
      <c r="AL301" s="156">
        <v>11550.06</v>
      </c>
      <c r="AM301" s="156">
        <v>-24738.1</v>
      </c>
      <c r="AN301" s="156">
        <v>0</v>
      </c>
      <c r="AO301" s="156">
        <v>0</v>
      </c>
      <c r="AP301" s="156">
        <v>0</v>
      </c>
      <c r="AQ301" s="156">
        <v>0</v>
      </c>
      <c r="AR301" s="156">
        <v>0</v>
      </c>
      <c r="AS301" s="156">
        <v>0</v>
      </c>
      <c r="AT301" s="156">
        <f>H301+I301+N301+O301+P301+Q301+T301+X301+Y301+Z301+AA301+AB301+AM301+AO301</f>
        <v>628413.81999999995</v>
      </c>
    </row>
    <row r="302" spans="1:46" ht="11.25" hidden="1" outlineLevel="3">
      <c r="A302" s="155" t="s">
        <v>152</v>
      </c>
      <c r="B302" s="155" t="s">
        <v>160</v>
      </c>
      <c r="C302" s="155" t="s">
        <v>133</v>
      </c>
      <c r="D302" s="156" t="s">
        <v>66</v>
      </c>
      <c r="E302" s="156" t="s">
        <v>163</v>
      </c>
      <c r="F302" s="157">
        <v>0</v>
      </c>
      <c r="G302" s="157">
        <v>12711911</v>
      </c>
      <c r="H302" s="156">
        <v>930066.14</v>
      </c>
      <c r="I302" s="156">
        <v>0</v>
      </c>
      <c r="J302" s="156">
        <v>0</v>
      </c>
      <c r="K302" s="156">
        <v>43856.09</v>
      </c>
      <c r="L302" s="156">
        <v>0</v>
      </c>
      <c r="M302" s="156">
        <v>0</v>
      </c>
      <c r="N302" s="156">
        <f>J302+K302+L302+M302</f>
        <v>43856.09</v>
      </c>
      <c r="O302" s="156">
        <v>0</v>
      </c>
      <c r="P302" s="156">
        <v>0</v>
      </c>
      <c r="Q302" s="156">
        <v>0</v>
      </c>
      <c r="R302" s="156">
        <v>0</v>
      </c>
      <c r="S302" s="156">
        <v>0</v>
      </c>
      <c r="T302" s="156">
        <v>20241.52</v>
      </c>
      <c r="U302" s="156">
        <v>0</v>
      </c>
      <c r="V302" s="156">
        <v>0</v>
      </c>
      <c r="W302" s="156">
        <v>0</v>
      </c>
      <c r="X302" s="156">
        <v>0</v>
      </c>
      <c r="Y302" s="156">
        <v>0</v>
      </c>
      <c r="Z302" s="156">
        <v>4312.55</v>
      </c>
      <c r="AA302" s="156">
        <v>0</v>
      </c>
      <c r="AB302" s="156">
        <v>0</v>
      </c>
      <c r="AC302" s="156">
        <v>0</v>
      </c>
      <c r="AD302" s="156">
        <v>0</v>
      </c>
      <c r="AE302" s="156">
        <v>0</v>
      </c>
      <c r="AF302" s="156">
        <v>0</v>
      </c>
      <c r="AG302" s="156">
        <v>0</v>
      </c>
      <c r="AH302" s="156">
        <v>0</v>
      </c>
      <c r="AI302" s="156">
        <v>-2641.31</v>
      </c>
      <c r="AJ302" s="156">
        <v>0</v>
      </c>
      <c r="AK302" s="156">
        <v>0</v>
      </c>
      <c r="AL302" s="156">
        <v>37237.589999999997</v>
      </c>
      <c r="AM302" s="156">
        <v>-37881.480000000003</v>
      </c>
      <c r="AN302" s="156">
        <v>0</v>
      </c>
      <c r="AO302" s="156">
        <v>0</v>
      </c>
      <c r="AP302" s="156">
        <v>0</v>
      </c>
      <c r="AQ302" s="156">
        <v>0</v>
      </c>
      <c r="AR302" s="156">
        <v>0</v>
      </c>
      <c r="AS302" s="156">
        <v>0</v>
      </c>
      <c r="AT302" s="156">
        <f>H302+I302+N302+O302+P302+Q302+T302+X302+Y302+Z302+AA302+AB302+AM302+AO302</f>
        <v>960594.82000000007</v>
      </c>
    </row>
    <row r="303" spans="1:46" ht="11.25" outlineLevel="2" collapsed="1">
      <c r="D303" s="156"/>
      <c r="E303" s="156" t="s">
        <v>221</v>
      </c>
      <c r="F303" s="157">
        <v>28</v>
      </c>
      <c r="G303" s="157">
        <f t="shared" ref="G303:AT303" si="45">SUBTOTAL(9,G298:G302)</f>
        <v>45416084</v>
      </c>
      <c r="H303" s="156">
        <f t="shared" si="45"/>
        <v>3377381.6900000004</v>
      </c>
      <c r="I303" s="156">
        <f t="shared" si="45"/>
        <v>960</v>
      </c>
      <c r="J303" s="156">
        <f t="shared" si="45"/>
        <v>0</v>
      </c>
      <c r="K303" s="156">
        <f t="shared" si="45"/>
        <v>155064.79999999999</v>
      </c>
      <c r="L303" s="156">
        <f t="shared" si="45"/>
        <v>0</v>
      </c>
      <c r="M303" s="156">
        <f t="shared" si="45"/>
        <v>0</v>
      </c>
      <c r="N303" s="156">
        <f t="shared" si="45"/>
        <v>155064.79999999999</v>
      </c>
      <c r="O303" s="156">
        <f t="shared" si="45"/>
        <v>0</v>
      </c>
      <c r="P303" s="156">
        <f t="shared" si="45"/>
        <v>0</v>
      </c>
      <c r="Q303" s="156">
        <f t="shared" si="45"/>
        <v>0</v>
      </c>
      <c r="R303" s="156">
        <f t="shared" si="45"/>
        <v>0</v>
      </c>
      <c r="S303" s="156">
        <f t="shared" si="45"/>
        <v>0</v>
      </c>
      <c r="T303" s="156">
        <f t="shared" si="45"/>
        <v>62213.14</v>
      </c>
      <c r="U303" s="156">
        <f t="shared" si="45"/>
        <v>0</v>
      </c>
      <c r="V303" s="156">
        <f t="shared" si="45"/>
        <v>0</v>
      </c>
      <c r="W303" s="156">
        <f t="shared" si="45"/>
        <v>0</v>
      </c>
      <c r="X303" s="156">
        <f t="shared" si="45"/>
        <v>0</v>
      </c>
      <c r="Y303" s="156">
        <f t="shared" si="45"/>
        <v>0</v>
      </c>
      <c r="Z303" s="156">
        <f t="shared" si="45"/>
        <v>8178.0400000000009</v>
      </c>
      <c r="AA303" s="156">
        <f t="shared" si="45"/>
        <v>0</v>
      </c>
      <c r="AB303" s="156">
        <f t="shared" si="45"/>
        <v>0</v>
      </c>
      <c r="AC303" s="156">
        <f t="shared" si="45"/>
        <v>0</v>
      </c>
      <c r="AD303" s="156">
        <f t="shared" si="45"/>
        <v>0</v>
      </c>
      <c r="AE303" s="156">
        <f t="shared" si="45"/>
        <v>0</v>
      </c>
      <c r="AF303" s="156">
        <f t="shared" si="45"/>
        <v>0</v>
      </c>
      <c r="AG303" s="156">
        <f t="shared" si="45"/>
        <v>0</v>
      </c>
      <c r="AH303" s="156">
        <f t="shared" si="45"/>
        <v>0</v>
      </c>
      <c r="AI303" s="156">
        <f t="shared" si="45"/>
        <v>-2641.31</v>
      </c>
      <c r="AJ303" s="156">
        <f t="shared" si="45"/>
        <v>0</v>
      </c>
      <c r="AK303" s="156">
        <f t="shared" si="45"/>
        <v>0</v>
      </c>
      <c r="AL303" s="156">
        <f t="shared" si="45"/>
        <v>116832.42</v>
      </c>
      <c r="AM303" s="156">
        <f t="shared" si="45"/>
        <v>-135339.92000000001</v>
      </c>
      <c r="AN303" s="156">
        <f t="shared" si="45"/>
        <v>0</v>
      </c>
      <c r="AO303" s="156">
        <f t="shared" si="45"/>
        <v>0</v>
      </c>
      <c r="AP303" s="156">
        <f t="shared" si="45"/>
        <v>0</v>
      </c>
      <c r="AQ303" s="156">
        <f t="shared" si="45"/>
        <v>0</v>
      </c>
      <c r="AR303" s="156">
        <f t="shared" si="45"/>
        <v>0</v>
      </c>
      <c r="AS303" s="156">
        <f t="shared" si="45"/>
        <v>0</v>
      </c>
      <c r="AT303" s="156">
        <f t="shared" si="45"/>
        <v>3468457.75</v>
      </c>
    </row>
    <row r="304" spans="1:46" ht="11.25" hidden="1" outlineLevel="3">
      <c r="A304" s="155" t="s">
        <v>152</v>
      </c>
      <c r="B304" s="155" t="s">
        <v>153</v>
      </c>
      <c r="C304" s="155" t="s">
        <v>133</v>
      </c>
      <c r="D304" s="156" t="s">
        <v>66</v>
      </c>
      <c r="E304" s="156" t="s">
        <v>165</v>
      </c>
      <c r="F304" s="157">
        <v>0</v>
      </c>
      <c r="G304" s="157">
        <v>174750</v>
      </c>
      <c r="H304" s="156">
        <v>16924</v>
      </c>
      <c r="I304" s="156">
        <v>0</v>
      </c>
      <c r="J304" s="156">
        <v>0</v>
      </c>
      <c r="K304" s="156">
        <v>546.97</v>
      </c>
      <c r="L304" s="156">
        <v>0</v>
      </c>
      <c r="M304" s="156">
        <v>0</v>
      </c>
      <c r="N304" s="156">
        <f>J304+K304+L304+M304</f>
        <v>546.97</v>
      </c>
      <c r="O304" s="156">
        <v>0</v>
      </c>
      <c r="P304" s="156">
        <v>0</v>
      </c>
      <c r="Q304" s="156">
        <v>0</v>
      </c>
      <c r="R304" s="156">
        <v>0</v>
      </c>
      <c r="S304" s="156">
        <v>0</v>
      </c>
      <c r="T304" s="156">
        <v>0</v>
      </c>
      <c r="U304" s="156">
        <v>0</v>
      </c>
      <c r="V304" s="156">
        <v>0</v>
      </c>
      <c r="W304" s="156">
        <v>0</v>
      </c>
      <c r="X304" s="156">
        <v>0</v>
      </c>
      <c r="Y304" s="156">
        <v>0</v>
      </c>
      <c r="Z304" s="156">
        <v>124.07</v>
      </c>
      <c r="AA304" s="156">
        <v>0</v>
      </c>
      <c r="AB304" s="156">
        <v>0</v>
      </c>
      <c r="AC304" s="156">
        <v>0</v>
      </c>
      <c r="AD304" s="156">
        <v>0</v>
      </c>
      <c r="AE304" s="156">
        <v>0</v>
      </c>
      <c r="AF304" s="156">
        <v>0</v>
      </c>
      <c r="AG304" s="156">
        <v>0</v>
      </c>
      <c r="AH304" s="156">
        <v>0</v>
      </c>
      <c r="AI304" s="156">
        <v>488.75</v>
      </c>
      <c r="AJ304" s="156">
        <v>0</v>
      </c>
      <c r="AK304" s="156">
        <v>0</v>
      </c>
      <c r="AL304" s="156">
        <v>1266.29</v>
      </c>
      <c r="AM304" s="156">
        <v>-646.58000000000004</v>
      </c>
      <c r="AN304" s="156">
        <v>0</v>
      </c>
      <c r="AO304" s="156">
        <v>0</v>
      </c>
      <c r="AP304" s="156">
        <v>0</v>
      </c>
      <c r="AQ304" s="156">
        <v>0</v>
      </c>
      <c r="AR304" s="156">
        <v>0</v>
      </c>
      <c r="AS304" s="156">
        <v>0</v>
      </c>
      <c r="AT304" s="156">
        <f>H304+I304+N304+O304+P304+Q304+T304+X304+Y304+Z304+AA304+AB304+AM304+AO304</f>
        <v>16948.46</v>
      </c>
    </row>
    <row r="305" spans="1:46" ht="11.25" hidden="1" outlineLevel="3">
      <c r="A305" s="155" t="s">
        <v>152</v>
      </c>
      <c r="B305" s="155" t="s">
        <v>154</v>
      </c>
      <c r="C305" s="155" t="s">
        <v>133</v>
      </c>
      <c r="D305" s="156" t="s">
        <v>66</v>
      </c>
      <c r="E305" s="156" t="s">
        <v>165</v>
      </c>
      <c r="F305" s="157">
        <v>0</v>
      </c>
      <c r="G305" s="157">
        <v>104336</v>
      </c>
      <c r="H305" s="156">
        <v>9178.23</v>
      </c>
      <c r="I305" s="156">
        <v>0</v>
      </c>
      <c r="J305" s="156">
        <v>0</v>
      </c>
      <c r="K305" s="156">
        <v>366.22</v>
      </c>
      <c r="L305" s="156">
        <v>0</v>
      </c>
      <c r="M305" s="156">
        <v>0</v>
      </c>
      <c r="N305" s="156">
        <f>J305+K305+L305+M305</f>
        <v>366.22</v>
      </c>
      <c r="O305" s="156">
        <v>0</v>
      </c>
      <c r="P305" s="156">
        <v>0</v>
      </c>
      <c r="Q305" s="156">
        <v>0</v>
      </c>
      <c r="R305" s="156">
        <v>0</v>
      </c>
      <c r="S305" s="156">
        <v>0</v>
      </c>
      <c r="T305" s="156">
        <v>0</v>
      </c>
      <c r="U305" s="156">
        <v>0</v>
      </c>
      <c r="V305" s="156">
        <v>0</v>
      </c>
      <c r="W305" s="156">
        <v>0</v>
      </c>
      <c r="X305" s="156">
        <v>0</v>
      </c>
      <c r="Y305" s="156">
        <v>0</v>
      </c>
      <c r="Z305" s="156">
        <v>74.08</v>
      </c>
      <c r="AA305" s="156">
        <v>0</v>
      </c>
      <c r="AB305" s="156">
        <v>0</v>
      </c>
      <c r="AC305" s="156">
        <v>0</v>
      </c>
      <c r="AD305" s="156">
        <v>0</v>
      </c>
      <c r="AE305" s="156">
        <v>0</v>
      </c>
      <c r="AF305" s="156">
        <v>0</v>
      </c>
      <c r="AG305" s="156">
        <v>0</v>
      </c>
      <c r="AH305" s="156">
        <v>0</v>
      </c>
      <c r="AI305" s="156">
        <v>0</v>
      </c>
      <c r="AJ305" s="156">
        <v>0</v>
      </c>
      <c r="AK305" s="156">
        <v>0</v>
      </c>
      <c r="AL305" s="156">
        <v>586.26</v>
      </c>
      <c r="AM305" s="156">
        <v>-386.04</v>
      </c>
      <c r="AN305" s="156">
        <v>0</v>
      </c>
      <c r="AO305" s="156">
        <v>0</v>
      </c>
      <c r="AP305" s="156">
        <v>0</v>
      </c>
      <c r="AQ305" s="156">
        <v>0</v>
      </c>
      <c r="AR305" s="156">
        <v>0</v>
      </c>
      <c r="AS305" s="156">
        <v>0</v>
      </c>
      <c r="AT305" s="156">
        <f>H305+I305+N305+O305+P305+Q305+T305+X305+Y305+Z305+AA305+AB305+AM305+AO305</f>
        <v>9232.489999999998</v>
      </c>
    </row>
    <row r="306" spans="1:46" ht="11.25" hidden="1" outlineLevel="3">
      <c r="A306" s="155" t="s">
        <v>152</v>
      </c>
      <c r="B306" s="155" t="s">
        <v>193</v>
      </c>
      <c r="C306" s="155" t="s">
        <v>133</v>
      </c>
      <c r="D306" s="156" t="s">
        <v>66</v>
      </c>
      <c r="E306" s="156" t="s">
        <v>165</v>
      </c>
      <c r="F306" s="157">
        <v>0</v>
      </c>
      <c r="G306" s="157">
        <v>98844</v>
      </c>
      <c r="H306" s="156">
        <v>14510.23</v>
      </c>
      <c r="I306" s="156">
        <v>0</v>
      </c>
      <c r="J306" s="156">
        <v>0</v>
      </c>
      <c r="K306" s="156">
        <v>346.94</v>
      </c>
      <c r="L306" s="156">
        <v>0</v>
      </c>
      <c r="M306" s="156">
        <v>0</v>
      </c>
      <c r="N306" s="156">
        <f>J306+K306+L306+M306</f>
        <v>346.94</v>
      </c>
      <c r="O306" s="156">
        <v>0</v>
      </c>
      <c r="P306" s="156">
        <v>0</v>
      </c>
      <c r="Q306" s="156">
        <v>0</v>
      </c>
      <c r="R306" s="156">
        <v>0</v>
      </c>
      <c r="S306" s="156">
        <v>0</v>
      </c>
      <c r="T306" s="156">
        <v>0</v>
      </c>
      <c r="U306" s="156">
        <v>0</v>
      </c>
      <c r="V306" s="156">
        <v>0</v>
      </c>
      <c r="W306" s="156">
        <v>0</v>
      </c>
      <c r="X306" s="156">
        <v>0</v>
      </c>
      <c r="Y306" s="156">
        <v>0</v>
      </c>
      <c r="Z306" s="156">
        <v>70.180000000000007</v>
      </c>
      <c r="AA306" s="156">
        <v>0</v>
      </c>
      <c r="AB306" s="156">
        <v>0</v>
      </c>
      <c r="AC306" s="156">
        <v>0</v>
      </c>
      <c r="AD306" s="156">
        <v>0</v>
      </c>
      <c r="AE306" s="156">
        <v>0</v>
      </c>
      <c r="AF306" s="156">
        <v>0</v>
      </c>
      <c r="AG306" s="156">
        <v>0</v>
      </c>
      <c r="AH306" s="156">
        <v>0</v>
      </c>
      <c r="AI306" s="156">
        <v>0</v>
      </c>
      <c r="AJ306" s="156">
        <v>0</v>
      </c>
      <c r="AK306" s="156">
        <v>0</v>
      </c>
      <c r="AL306" s="156">
        <v>924.68</v>
      </c>
      <c r="AM306" s="156">
        <v>-365.72</v>
      </c>
      <c r="AN306" s="156">
        <v>0</v>
      </c>
      <c r="AO306" s="156">
        <v>0</v>
      </c>
      <c r="AP306" s="156">
        <v>0</v>
      </c>
      <c r="AQ306" s="156">
        <v>0</v>
      </c>
      <c r="AR306" s="156">
        <v>0</v>
      </c>
      <c r="AS306" s="156">
        <v>0</v>
      </c>
      <c r="AT306" s="156">
        <f>H306+I306+N306+O306+P306+Q306+T306+X306+Y306+Z306+AA306+AB306+AM306+AO306</f>
        <v>14561.630000000001</v>
      </c>
    </row>
    <row r="307" spans="1:46" ht="11.25" hidden="1" outlineLevel="3">
      <c r="A307" s="155" t="s">
        <v>152</v>
      </c>
      <c r="B307" s="155" t="s">
        <v>160</v>
      </c>
      <c r="C307" s="155" t="s">
        <v>133</v>
      </c>
      <c r="D307" s="156" t="s">
        <v>66</v>
      </c>
      <c r="E307" s="156" t="s">
        <v>165</v>
      </c>
      <c r="F307" s="157">
        <v>0</v>
      </c>
      <c r="G307" s="157">
        <v>362430</v>
      </c>
      <c r="H307" s="156">
        <v>30202.04</v>
      </c>
      <c r="I307" s="156">
        <v>0</v>
      </c>
      <c r="J307" s="156">
        <v>0</v>
      </c>
      <c r="K307" s="156">
        <v>1272.1300000000001</v>
      </c>
      <c r="L307" s="156">
        <v>0</v>
      </c>
      <c r="M307" s="156">
        <v>0</v>
      </c>
      <c r="N307" s="156">
        <f>J307+K307+L307+M307</f>
        <v>1272.1300000000001</v>
      </c>
      <c r="O307" s="156">
        <v>0</v>
      </c>
      <c r="P307" s="156">
        <v>0</v>
      </c>
      <c r="Q307" s="156">
        <v>0</v>
      </c>
      <c r="R307" s="156">
        <v>0</v>
      </c>
      <c r="S307" s="156">
        <v>0</v>
      </c>
      <c r="T307" s="156">
        <v>0</v>
      </c>
      <c r="U307" s="156">
        <v>0</v>
      </c>
      <c r="V307" s="156">
        <v>0</v>
      </c>
      <c r="W307" s="156">
        <v>0</v>
      </c>
      <c r="X307" s="156">
        <v>0</v>
      </c>
      <c r="Y307" s="156">
        <v>0</v>
      </c>
      <c r="Z307" s="156">
        <v>257.33</v>
      </c>
      <c r="AA307" s="156">
        <v>0</v>
      </c>
      <c r="AB307" s="156">
        <v>0</v>
      </c>
      <c r="AC307" s="156">
        <v>0</v>
      </c>
      <c r="AD307" s="156">
        <v>0</v>
      </c>
      <c r="AE307" s="156">
        <v>0</v>
      </c>
      <c r="AF307" s="156">
        <v>0</v>
      </c>
      <c r="AG307" s="156">
        <v>0</v>
      </c>
      <c r="AH307" s="156">
        <v>0</v>
      </c>
      <c r="AI307" s="156">
        <v>0</v>
      </c>
      <c r="AJ307" s="156">
        <v>0</v>
      </c>
      <c r="AK307" s="156">
        <v>0</v>
      </c>
      <c r="AL307" s="156">
        <v>1656.28</v>
      </c>
      <c r="AM307" s="156">
        <v>-1340.99</v>
      </c>
      <c r="AN307" s="156">
        <v>0</v>
      </c>
      <c r="AO307" s="156">
        <v>0</v>
      </c>
      <c r="AP307" s="156">
        <v>0</v>
      </c>
      <c r="AQ307" s="156">
        <v>0</v>
      </c>
      <c r="AR307" s="156">
        <v>0</v>
      </c>
      <c r="AS307" s="156">
        <v>0</v>
      </c>
      <c r="AT307" s="156">
        <f>H307+I307+N307+O307+P307+Q307+T307+X307+Y307+Z307+AA307+AB307+AM307+AO307</f>
        <v>30390.510000000002</v>
      </c>
    </row>
    <row r="308" spans="1:46" ht="11.25" outlineLevel="2" collapsed="1">
      <c r="D308" s="156"/>
      <c r="E308" s="156" t="s">
        <v>229</v>
      </c>
      <c r="F308" s="157">
        <v>5</v>
      </c>
      <c r="G308" s="157">
        <f t="shared" ref="G308:AT308" si="46">SUBTOTAL(9,G304:G307)</f>
        <v>740360</v>
      </c>
      <c r="H308" s="156">
        <f t="shared" si="46"/>
        <v>70814.5</v>
      </c>
      <c r="I308" s="156">
        <f t="shared" si="46"/>
        <v>0</v>
      </c>
      <c r="J308" s="156">
        <f t="shared" si="46"/>
        <v>0</v>
      </c>
      <c r="K308" s="156">
        <f t="shared" si="46"/>
        <v>2532.2600000000002</v>
      </c>
      <c r="L308" s="156">
        <f t="shared" si="46"/>
        <v>0</v>
      </c>
      <c r="M308" s="156">
        <f t="shared" si="46"/>
        <v>0</v>
      </c>
      <c r="N308" s="156">
        <f t="shared" si="46"/>
        <v>2532.2600000000002</v>
      </c>
      <c r="O308" s="156">
        <f t="shared" si="46"/>
        <v>0</v>
      </c>
      <c r="P308" s="156">
        <f t="shared" si="46"/>
        <v>0</v>
      </c>
      <c r="Q308" s="156">
        <f t="shared" si="46"/>
        <v>0</v>
      </c>
      <c r="R308" s="156">
        <f t="shared" si="46"/>
        <v>0</v>
      </c>
      <c r="S308" s="156">
        <f t="shared" si="46"/>
        <v>0</v>
      </c>
      <c r="T308" s="156">
        <f t="shared" si="46"/>
        <v>0</v>
      </c>
      <c r="U308" s="156">
        <f t="shared" si="46"/>
        <v>0</v>
      </c>
      <c r="V308" s="156">
        <f t="shared" si="46"/>
        <v>0</v>
      </c>
      <c r="W308" s="156">
        <f t="shared" si="46"/>
        <v>0</v>
      </c>
      <c r="X308" s="156">
        <f t="shared" si="46"/>
        <v>0</v>
      </c>
      <c r="Y308" s="156">
        <f t="shared" si="46"/>
        <v>0</v>
      </c>
      <c r="Z308" s="156">
        <f t="shared" si="46"/>
        <v>525.66</v>
      </c>
      <c r="AA308" s="156">
        <f t="shared" si="46"/>
        <v>0</v>
      </c>
      <c r="AB308" s="156">
        <f t="shared" si="46"/>
        <v>0</v>
      </c>
      <c r="AC308" s="156">
        <f t="shared" si="46"/>
        <v>0</v>
      </c>
      <c r="AD308" s="156">
        <f t="shared" si="46"/>
        <v>0</v>
      </c>
      <c r="AE308" s="156">
        <f t="shared" si="46"/>
        <v>0</v>
      </c>
      <c r="AF308" s="156">
        <f t="shared" si="46"/>
        <v>0</v>
      </c>
      <c r="AG308" s="156">
        <f t="shared" si="46"/>
        <v>0</v>
      </c>
      <c r="AH308" s="156">
        <f t="shared" si="46"/>
        <v>0</v>
      </c>
      <c r="AI308" s="156">
        <f t="shared" si="46"/>
        <v>488.75</v>
      </c>
      <c r="AJ308" s="156">
        <f t="shared" si="46"/>
        <v>0</v>
      </c>
      <c r="AK308" s="156">
        <f t="shared" si="46"/>
        <v>0</v>
      </c>
      <c r="AL308" s="156">
        <f t="shared" si="46"/>
        <v>4433.51</v>
      </c>
      <c r="AM308" s="156">
        <f t="shared" si="46"/>
        <v>-2739.33</v>
      </c>
      <c r="AN308" s="156">
        <f t="shared" si="46"/>
        <v>0</v>
      </c>
      <c r="AO308" s="156">
        <f t="shared" si="46"/>
        <v>0</v>
      </c>
      <c r="AP308" s="156">
        <f t="shared" si="46"/>
        <v>0</v>
      </c>
      <c r="AQ308" s="156">
        <f t="shared" si="46"/>
        <v>0</v>
      </c>
      <c r="AR308" s="156">
        <f t="shared" si="46"/>
        <v>0</v>
      </c>
      <c r="AS308" s="156">
        <f t="shared" si="46"/>
        <v>0</v>
      </c>
      <c r="AT308" s="156">
        <f t="shared" si="46"/>
        <v>71133.09</v>
      </c>
    </row>
    <row r="309" spans="1:46" ht="11.25" hidden="1" outlineLevel="3">
      <c r="A309" s="155" t="s">
        <v>152</v>
      </c>
      <c r="B309" s="155" t="s">
        <v>154</v>
      </c>
      <c r="C309" s="155" t="s">
        <v>133</v>
      </c>
      <c r="D309" s="156" t="s">
        <v>66</v>
      </c>
      <c r="E309" s="156" t="s">
        <v>194</v>
      </c>
      <c r="F309" s="157">
        <v>0</v>
      </c>
      <c r="G309" s="157">
        <v>4601946</v>
      </c>
      <c r="H309" s="156">
        <v>322091.63</v>
      </c>
      <c r="I309" s="156">
        <v>0</v>
      </c>
      <c r="J309" s="156">
        <v>0</v>
      </c>
      <c r="K309" s="156">
        <v>15876.71</v>
      </c>
      <c r="L309" s="156">
        <v>0</v>
      </c>
      <c r="M309" s="156">
        <v>0</v>
      </c>
      <c r="N309" s="156">
        <f>J309+K309+L309+M309</f>
        <v>15876.71</v>
      </c>
      <c r="O309" s="156">
        <v>0</v>
      </c>
      <c r="P309" s="156">
        <v>0</v>
      </c>
      <c r="Q309" s="156">
        <v>0</v>
      </c>
      <c r="R309" s="156">
        <v>0</v>
      </c>
      <c r="S309" s="156">
        <v>0</v>
      </c>
      <c r="T309" s="156">
        <v>0</v>
      </c>
      <c r="U309" s="156">
        <v>0</v>
      </c>
      <c r="V309" s="156">
        <v>0</v>
      </c>
      <c r="W309" s="156">
        <v>0</v>
      </c>
      <c r="X309" s="156">
        <v>0</v>
      </c>
      <c r="Y309" s="156">
        <v>0</v>
      </c>
      <c r="Z309" s="156">
        <v>0</v>
      </c>
      <c r="AA309" s="156">
        <v>0</v>
      </c>
      <c r="AB309" s="156">
        <v>0</v>
      </c>
      <c r="AC309" s="156">
        <v>0</v>
      </c>
      <c r="AD309" s="156">
        <v>0</v>
      </c>
      <c r="AE309" s="156">
        <v>0</v>
      </c>
      <c r="AF309" s="156">
        <v>0</v>
      </c>
      <c r="AG309" s="156">
        <v>0</v>
      </c>
      <c r="AH309" s="156">
        <v>0</v>
      </c>
      <c r="AI309" s="156">
        <v>0</v>
      </c>
      <c r="AJ309" s="156">
        <v>0</v>
      </c>
      <c r="AK309" s="156">
        <v>0</v>
      </c>
      <c r="AL309" s="156">
        <v>20036.89</v>
      </c>
      <c r="AM309" s="156">
        <v>-13713.8</v>
      </c>
      <c r="AN309" s="156">
        <v>0</v>
      </c>
      <c r="AO309" s="156">
        <v>0</v>
      </c>
      <c r="AP309" s="156">
        <v>0</v>
      </c>
      <c r="AQ309" s="156">
        <v>0</v>
      </c>
      <c r="AR309" s="156">
        <v>0</v>
      </c>
      <c r="AS309" s="156">
        <v>0</v>
      </c>
      <c r="AT309" s="156">
        <f>H309+I309+N309+O309+P309+Q309+T309+X309+Y309+Z309+AA309+AB309+AM309+AO309</f>
        <v>324254.54000000004</v>
      </c>
    </row>
    <row r="310" spans="1:46" ht="11.25" hidden="1" outlineLevel="3">
      <c r="A310" s="155" t="s">
        <v>152</v>
      </c>
      <c r="B310" s="155" t="s">
        <v>157</v>
      </c>
      <c r="C310" s="155" t="s">
        <v>133</v>
      </c>
      <c r="D310" s="156" t="s">
        <v>66</v>
      </c>
      <c r="E310" s="156" t="s">
        <v>194</v>
      </c>
      <c r="F310" s="157">
        <v>0</v>
      </c>
      <c r="G310" s="157">
        <v>384142</v>
      </c>
      <c r="H310" s="156">
        <v>44807.17</v>
      </c>
      <c r="I310" s="156">
        <v>0</v>
      </c>
      <c r="J310" s="156">
        <v>0</v>
      </c>
      <c r="K310" s="156">
        <v>1325.29</v>
      </c>
      <c r="L310" s="156">
        <v>0</v>
      </c>
      <c r="M310" s="156">
        <v>0</v>
      </c>
      <c r="N310" s="156">
        <f>J310+K310+L310+M310</f>
        <v>1325.29</v>
      </c>
      <c r="O310" s="156">
        <v>0</v>
      </c>
      <c r="P310" s="156">
        <v>0</v>
      </c>
      <c r="Q310" s="156">
        <v>0</v>
      </c>
      <c r="R310" s="156">
        <v>0</v>
      </c>
      <c r="S310" s="156">
        <v>0</v>
      </c>
      <c r="T310" s="156">
        <v>0</v>
      </c>
      <c r="U310" s="156">
        <v>0</v>
      </c>
      <c r="V310" s="156">
        <v>0</v>
      </c>
      <c r="W310" s="156">
        <v>0</v>
      </c>
      <c r="X310" s="156">
        <v>0</v>
      </c>
      <c r="Y310" s="156">
        <v>0</v>
      </c>
      <c r="Z310" s="156">
        <v>0</v>
      </c>
      <c r="AA310" s="156">
        <v>0</v>
      </c>
      <c r="AB310" s="156">
        <v>0</v>
      </c>
      <c r="AC310" s="156">
        <v>0</v>
      </c>
      <c r="AD310" s="156">
        <v>0</v>
      </c>
      <c r="AE310" s="156">
        <v>0</v>
      </c>
      <c r="AF310" s="156">
        <v>0</v>
      </c>
      <c r="AG310" s="156">
        <v>0</v>
      </c>
      <c r="AH310" s="156">
        <v>0</v>
      </c>
      <c r="AI310" s="156">
        <v>0</v>
      </c>
      <c r="AJ310" s="156">
        <v>0</v>
      </c>
      <c r="AK310" s="156">
        <v>0</v>
      </c>
      <c r="AL310" s="156">
        <v>2406.83</v>
      </c>
      <c r="AM310" s="156">
        <v>-1144.74</v>
      </c>
      <c r="AN310" s="156">
        <v>0</v>
      </c>
      <c r="AO310" s="156">
        <v>0</v>
      </c>
      <c r="AP310" s="156">
        <v>0</v>
      </c>
      <c r="AQ310" s="156">
        <v>0</v>
      </c>
      <c r="AR310" s="156">
        <v>0</v>
      </c>
      <c r="AS310" s="156">
        <v>0</v>
      </c>
      <c r="AT310" s="156">
        <f>H310+I310+N310+O310+P310+Q310+T310+X310+Y310+Z310+AA310+AB310+AM310+AO310</f>
        <v>44987.72</v>
      </c>
    </row>
    <row r="311" spans="1:46" ht="11.25" hidden="1" outlineLevel="3">
      <c r="A311" s="155" t="s">
        <v>152</v>
      </c>
      <c r="B311" s="155" t="s">
        <v>137</v>
      </c>
      <c r="C311" s="155" t="s">
        <v>133</v>
      </c>
      <c r="D311" s="156" t="s">
        <v>66</v>
      </c>
      <c r="E311" s="156" t="s">
        <v>194</v>
      </c>
      <c r="F311" s="157">
        <v>0</v>
      </c>
      <c r="G311" s="157">
        <v>2088000</v>
      </c>
      <c r="H311" s="156">
        <v>138505.79</v>
      </c>
      <c r="I311" s="156">
        <v>0</v>
      </c>
      <c r="J311" s="156">
        <v>0</v>
      </c>
      <c r="K311" s="156">
        <v>7203.6</v>
      </c>
      <c r="L311" s="156">
        <v>0</v>
      </c>
      <c r="M311" s="156">
        <v>0</v>
      </c>
      <c r="N311" s="156">
        <f>J311+K311+L311+M311</f>
        <v>7203.6</v>
      </c>
      <c r="O311" s="156">
        <v>0</v>
      </c>
      <c r="P311" s="156">
        <v>0</v>
      </c>
      <c r="Q311" s="156">
        <v>0</v>
      </c>
      <c r="R311" s="156">
        <v>0</v>
      </c>
      <c r="S311" s="156">
        <v>0</v>
      </c>
      <c r="T311" s="156">
        <v>0</v>
      </c>
      <c r="U311" s="156">
        <v>0</v>
      </c>
      <c r="V311" s="156">
        <v>0</v>
      </c>
      <c r="W311" s="156">
        <v>0</v>
      </c>
      <c r="X311" s="156">
        <v>0</v>
      </c>
      <c r="Y311" s="156">
        <v>0</v>
      </c>
      <c r="Z311" s="156">
        <v>0</v>
      </c>
      <c r="AA311" s="156">
        <v>0</v>
      </c>
      <c r="AB311" s="156">
        <v>0</v>
      </c>
      <c r="AC311" s="156">
        <v>0</v>
      </c>
      <c r="AD311" s="156">
        <v>0</v>
      </c>
      <c r="AE311" s="156">
        <v>0</v>
      </c>
      <c r="AF311" s="156">
        <v>0</v>
      </c>
      <c r="AG311" s="156">
        <v>0</v>
      </c>
      <c r="AH311" s="156">
        <v>0</v>
      </c>
      <c r="AI311" s="156">
        <v>0</v>
      </c>
      <c r="AJ311" s="156">
        <v>0</v>
      </c>
      <c r="AK311" s="156">
        <v>0</v>
      </c>
      <c r="AL311" s="156">
        <v>7462.55</v>
      </c>
      <c r="AM311" s="156">
        <v>-6222.24</v>
      </c>
      <c r="AN311" s="156">
        <v>0</v>
      </c>
      <c r="AO311" s="156">
        <v>0</v>
      </c>
      <c r="AP311" s="156">
        <v>0</v>
      </c>
      <c r="AQ311" s="156">
        <v>0</v>
      </c>
      <c r="AR311" s="156">
        <v>0</v>
      </c>
      <c r="AS311" s="156">
        <v>0</v>
      </c>
      <c r="AT311" s="156">
        <f>H311+I311+N311+O311+P311+Q311+T311+X311+Y311+Z311+AA311+AB311+AM311+AO311</f>
        <v>139487.15000000002</v>
      </c>
    </row>
    <row r="312" spans="1:46" ht="11.25" outlineLevel="2" collapsed="1">
      <c r="D312" s="156"/>
      <c r="E312" s="156" t="s">
        <v>230</v>
      </c>
      <c r="F312" s="157">
        <v>5</v>
      </c>
      <c r="G312" s="157">
        <f t="shared" ref="G312:AT312" si="47">SUBTOTAL(9,G309:G311)</f>
        <v>7074088</v>
      </c>
      <c r="H312" s="156">
        <f t="shared" si="47"/>
        <v>505404.58999999997</v>
      </c>
      <c r="I312" s="156">
        <f t="shared" si="47"/>
        <v>0</v>
      </c>
      <c r="J312" s="156">
        <f t="shared" si="47"/>
        <v>0</v>
      </c>
      <c r="K312" s="156">
        <f t="shared" si="47"/>
        <v>24405.599999999999</v>
      </c>
      <c r="L312" s="156">
        <f t="shared" si="47"/>
        <v>0</v>
      </c>
      <c r="M312" s="156">
        <f t="shared" si="47"/>
        <v>0</v>
      </c>
      <c r="N312" s="156">
        <f t="shared" si="47"/>
        <v>24405.599999999999</v>
      </c>
      <c r="O312" s="156">
        <f t="shared" si="47"/>
        <v>0</v>
      </c>
      <c r="P312" s="156">
        <f t="shared" si="47"/>
        <v>0</v>
      </c>
      <c r="Q312" s="156">
        <f t="shared" si="47"/>
        <v>0</v>
      </c>
      <c r="R312" s="156">
        <f t="shared" si="47"/>
        <v>0</v>
      </c>
      <c r="S312" s="156">
        <f t="shared" si="47"/>
        <v>0</v>
      </c>
      <c r="T312" s="156">
        <f t="shared" si="47"/>
        <v>0</v>
      </c>
      <c r="U312" s="156">
        <f t="shared" si="47"/>
        <v>0</v>
      </c>
      <c r="V312" s="156">
        <f t="shared" si="47"/>
        <v>0</v>
      </c>
      <c r="W312" s="156">
        <f t="shared" si="47"/>
        <v>0</v>
      </c>
      <c r="X312" s="156">
        <f t="shared" si="47"/>
        <v>0</v>
      </c>
      <c r="Y312" s="156">
        <f t="shared" si="47"/>
        <v>0</v>
      </c>
      <c r="Z312" s="156">
        <f t="shared" si="47"/>
        <v>0</v>
      </c>
      <c r="AA312" s="156">
        <f t="shared" si="47"/>
        <v>0</v>
      </c>
      <c r="AB312" s="156">
        <f t="shared" si="47"/>
        <v>0</v>
      </c>
      <c r="AC312" s="156">
        <f t="shared" si="47"/>
        <v>0</v>
      </c>
      <c r="AD312" s="156">
        <f t="shared" si="47"/>
        <v>0</v>
      </c>
      <c r="AE312" s="156">
        <f t="shared" si="47"/>
        <v>0</v>
      </c>
      <c r="AF312" s="156">
        <f t="shared" si="47"/>
        <v>0</v>
      </c>
      <c r="AG312" s="156">
        <f t="shared" si="47"/>
        <v>0</v>
      </c>
      <c r="AH312" s="156">
        <f t="shared" si="47"/>
        <v>0</v>
      </c>
      <c r="AI312" s="156">
        <f t="shared" si="47"/>
        <v>0</v>
      </c>
      <c r="AJ312" s="156">
        <f t="shared" si="47"/>
        <v>0</v>
      </c>
      <c r="AK312" s="156">
        <f t="shared" si="47"/>
        <v>0</v>
      </c>
      <c r="AL312" s="156">
        <f t="shared" si="47"/>
        <v>29906.27</v>
      </c>
      <c r="AM312" s="156">
        <f t="shared" si="47"/>
        <v>-21080.78</v>
      </c>
      <c r="AN312" s="156">
        <f t="shared" si="47"/>
        <v>0</v>
      </c>
      <c r="AO312" s="156">
        <f t="shared" si="47"/>
        <v>0</v>
      </c>
      <c r="AP312" s="156">
        <f t="shared" si="47"/>
        <v>0</v>
      </c>
      <c r="AQ312" s="156">
        <f t="shared" si="47"/>
        <v>0</v>
      </c>
      <c r="AR312" s="156">
        <f t="shared" si="47"/>
        <v>0</v>
      </c>
      <c r="AS312" s="156">
        <f t="shared" si="47"/>
        <v>0</v>
      </c>
      <c r="AT312" s="156">
        <f t="shared" si="47"/>
        <v>508729.41000000003</v>
      </c>
    </row>
    <row r="313" spans="1:46" ht="11.25" hidden="1" outlineLevel="3">
      <c r="A313" s="155" t="s">
        <v>167</v>
      </c>
      <c r="B313" s="155" t="s">
        <v>146</v>
      </c>
      <c r="C313" s="155" t="s">
        <v>133</v>
      </c>
      <c r="D313" s="156" t="s">
        <v>66</v>
      </c>
      <c r="E313" s="156" t="s">
        <v>199</v>
      </c>
      <c r="F313" s="157">
        <v>0</v>
      </c>
      <c r="G313" s="157">
        <v>2112000</v>
      </c>
      <c r="H313" s="156">
        <v>93263.86</v>
      </c>
      <c r="I313" s="156">
        <v>0</v>
      </c>
      <c r="J313" s="156">
        <v>58101.120000000003</v>
      </c>
      <c r="K313" s="156">
        <v>0</v>
      </c>
      <c r="L313" s="156">
        <v>0</v>
      </c>
      <c r="M313" s="156">
        <v>0</v>
      </c>
      <c r="N313" s="156">
        <f>J313+K313+L313+M313</f>
        <v>58101.120000000003</v>
      </c>
      <c r="O313" s="156">
        <v>0</v>
      </c>
      <c r="P313" s="156">
        <v>0</v>
      </c>
      <c r="Q313" s="156">
        <v>0</v>
      </c>
      <c r="R313" s="156">
        <v>0</v>
      </c>
      <c r="S313" s="156">
        <v>0</v>
      </c>
      <c r="T313" s="156">
        <v>0</v>
      </c>
      <c r="U313" s="156">
        <v>0</v>
      </c>
      <c r="V313" s="156">
        <v>0</v>
      </c>
      <c r="W313" s="156">
        <v>0</v>
      </c>
      <c r="X313" s="156">
        <v>337.92</v>
      </c>
      <c r="Y313" s="156">
        <v>0</v>
      </c>
      <c r="Z313" s="156">
        <v>0</v>
      </c>
      <c r="AA313" s="156">
        <v>0</v>
      </c>
      <c r="AB313" s="156">
        <v>0</v>
      </c>
      <c r="AC313" s="156">
        <v>0</v>
      </c>
      <c r="AD313" s="156">
        <v>0</v>
      </c>
      <c r="AE313" s="156">
        <v>0</v>
      </c>
      <c r="AF313" s="156">
        <v>0</v>
      </c>
      <c r="AG313" s="156">
        <v>0</v>
      </c>
      <c r="AH313" s="156">
        <v>0</v>
      </c>
      <c r="AI313" s="156">
        <v>0</v>
      </c>
      <c r="AJ313" s="156">
        <v>0</v>
      </c>
      <c r="AK313" s="156">
        <v>0</v>
      </c>
      <c r="AL313" s="156">
        <v>8874.6200000000008</v>
      </c>
      <c r="AM313" s="156">
        <v>-11510.4</v>
      </c>
      <c r="AN313" s="156">
        <v>0</v>
      </c>
      <c r="AO313" s="156">
        <v>0</v>
      </c>
      <c r="AP313" s="156">
        <v>0</v>
      </c>
      <c r="AQ313" s="156">
        <v>0</v>
      </c>
      <c r="AR313" s="156">
        <v>0</v>
      </c>
      <c r="AS313" s="156">
        <v>0</v>
      </c>
      <c r="AT313" s="156">
        <f>H313+I313+N313+O313+P313+Q313+T313+X313+Y313+Z313+AA313+AB313+AM313+AO313</f>
        <v>140192.50000000003</v>
      </c>
    </row>
    <row r="314" spans="1:46" ht="11.25" outlineLevel="2" collapsed="1">
      <c r="D314" s="156"/>
      <c r="E314" s="156" t="s">
        <v>231</v>
      </c>
      <c r="F314" s="157">
        <v>1</v>
      </c>
      <c r="G314" s="157">
        <f t="shared" ref="G314:AT314" si="48">SUBTOTAL(9,G313:G313)</f>
        <v>2112000</v>
      </c>
      <c r="H314" s="156">
        <f t="shared" si="48"/>
        <v>93263.86</v>
      </c>
      <c r="I314" s="156">
        <f t="shared" si="48"/>
        <v>0</v>
      </c>
      <c r="J314" s="156">
        <f t="shared" si="48"/>
        <v>58101.120000000003</v>
      </c>
      <c r="K314" s="156">
        <f t="shared" si="48"/>
        <v>0</v>
      </c>
      <c r="L314" s="156">
        <f t="shared" si="48"/>
        <v>0</v>
      </c>
      <c r="M314" s="156">
        <f t="shared" si="48"/>
        <v>0</v>
      </c>
      <c r="N314" s="156">
        <f t="shared" si="48"/>
        <v>58101.120000000003</v>
      </c>
      <c r="O314" s="156">
        <f t="shared" si="48"/>
        <v>0</v>
      </c>
      <c r="P314" s="156">
        <f t="shared" si="48"/>
        <v>0</v>
      </c>
      <c r="Q314" s="156">
        <f t="shared" si="48"/>
        <v>0</v>
      </c>
      <c r="R314" s="156">
        <f t="shared" si="48"/>
        <v>0</v>
      </c>
      <c r="S314" s="156">
        <f t="shared" si="48"/>
        <v>0</v>
      </c>
      <c r="T314" s="156">
        <f t="shared" si="48"/>
        <v>0</v>
      </c>
      <c r="U314" s="156">
        <f t="shared" si="48"/>
        <v>0</v>
      </c>
      <c r="V314" s="156">
        <f t="shared" si="48"/>
        <v>0</v>
      </c>
      <c r="W314" s="156">
        <f t="shared" si="48"/>
        <v>0</v>
      </c>
      <c r="X314" s="156">
        <f t="shared" si="48"/>
        <v>337.92</v>
      </c>
      <c r="Y314" s="156">
        <f t="shared" si="48"/>
        <v>0</v>
      </c>
      <c r="Z314" s="156">
        <f t="shared" si="48"/>
        <v>0</v>
      </c>
      <c r="AA314" s="156">
        <f t="shared" si="48"/>
        <v>0</v>
      </c>
      <c r="AB314" s="156">
        <f t="shared" si="48"/>
        <v>0</v>
      </c>
      <c r="AC314" s="156">
        <f t="shared" si="48"/>
        <v>0</v>
      </c>
      <c r="AD314" s="156">
        <f t="shared" si="48"/>
        <v>0</v>
      </c>
      <c r="AE314" s="156">
        <f t="shared" si="48"/>
        <v>0</v>
      </c>
      <c r="AF314" s="156">
        <f t="shared" si="48"/>
        <v>0</v>
      </c>
      <c r="AG314" s="156">
        <f t="shared" si="48"/>
        <v>0</v>
      </c>
      <c r="AH314" s="156">
        <f t="shared" si="48"/>
        <v>0</v>
      </c>
      <c r="AI314" s="156">
        <f t="shared" si="48"/>
        <v>0</v>
      </c>
      <c r="AJ314" s="156">
        <f t="shared" si="48"/>
        <v>0</v>
      </c>
      <c r="AK314" s="156">
        <f t="shared" si="48"/>
        <v>0</v>
      </c>
      <c r="AL314" s="156">
        <f t="shared" si="48"/>
        <v>8874.6200000000008</v>
      </c>
      <c r="AM314" s="156">
        <f t="shared" si="48"/>
        <v>-11510.4</v>
      </c>
      <c r="AN314" s="156">
        <f t="shared" si="48"/>
        <v>0</v>
      </c>
      <c r="AO314" s="156">
        <f t="shared" si="48"/>
        <v>0</v>
      </c>
      <c r="AP314" s="156">
        <f t="shared" si="48"/>
        <v>0</v>
      </c>
      <c r="AQ314" s="156">
        <f t="shared" si="48"/>
        <v>0</v>
      </c>
      <c r="AR314" s="156">
        <f t="shared" si="48"/>
        <v>0</v>
      </c>
      <c r="AS314" s="156">
        <f t="shared" si="48"/>
        <v>0</v>
      </c>
      <c r="AT314" s="156">
        <f t="shared" si="48"/>
        <v>140192.50000000003</v>
      </c>
    </row>
    <row r="315" spans="1:46" ht="11.25" hidden="1" outlineLevel="3">
      <c r="A315" s="155" t="s">
        <v>152</v>
      </c>
      <c r="B315" s="155" t="s">
        <v>153</v>
      </c>
      <c r="C315" s="155" t="s">
        <v>133</v>
      </c>
      <c r="D315" s="156" t="s">
        <v>66</v>
      </c>
      <c r="E315" s="156" t="s">
        <v>166</v>
      </c>
      <c r="F315" s="157">
        <v>0</v>
      </c>
      <c r="G315" s="157">
        <v>5840</v>
      </c>
      <c r="H315" s="156">
        <v>1097.6199999999999</v>
      </c>
      <c r="I315" s="156">
        <v>15.78</v>
      </c>
      <c r="J315" s="156">
        <v>0</v>
      </c>
      <c r="K315" s="156">
        <v>5.39</v>
      </c>
      <c r="L315" s="156">
        <v>0</v>
      </c>
      <c r="M315" s="156">
        <v>0</v>
      </c>
      <c r="N315" s="156">
        <f>J315+K315+L315+M315</f>
        <v>5.39</v>
      </c>
      <c r="O315" s="156">
        <v>0</v>
      </c>
      <c r="P315" s="156">
        <v>0</v>
      </c>
      <c r="Q315" s="156">
        <v>0</v>
      </c>
      <c r="R315" s="156">
        <v>0</v>
      </c>
      <c r="S315" s="156">
        <v>0</v>
      </c>
      <c r="T315" s="156">
        <v>0</v>
      </c>
      <c r="U315" s="156">
        <v>0</v>
      </c>
      <c r="V315" s="156">
        <v>0</v>
      </c>
      <c r="W315" s="156">
        <v>0</v>
      </c>
      <c r="X315" s="156">
        <v>0</v>
      </c>
      <c r="Y315" s="156">
        <v>0</v>
      </c>
      <c r="Z315" s="156">
        <v>4.1500000000000004</v>
      </c>
      <c r="AA315" s="156">
        <v>0</v>
      </c>
      <c r="AB315" s="156">
        <v>0</v>
      </c>
      <c r="AC315" s="156">
        <v>0</v>
      </c>
      <c r="AD315" s="156">
        <v>0</v>
      </c>
      <c r="AE315" s="156">
        <v>0</v>
      </c>
      <c r="AF315" s="156">
        <v>0</v>
      </c>
      <c r="AG315" s="156">
        <v>0</v>
      </c>
      <c r="AH315" s="156">
        <v>0</v>
      </c>
      <c r="AI315" s="156">
        <v>0</v>
      </c>
      <c r="AJ315" s="156">
        <v>0</v>
      </c>
      <c r="AK315" s="156">
        <v>0</v>
      </c>
      <c r="AL315" s="156">
        <v>67.37</v>
      </c>
      <c r="AM315" s="156">
        <v>-32.24</v>
      </c>
      <c r="AN315" s="156">
        <v>0</v>
      </c>
      <c r="AO315" s="156">
        <v>0</v>
      </c>
      <c r="AP315" s="156">
        <v>0</v>
      </c>
      <c r="AQ315" s="156">
        <v>0</v>
      </c>
      <c r="AR315" s="156">
        <v>0</v>
      </c>
      <c r="AS315" s="156">
        <v>0</v>
      </c>
      <c r="AT315" s="156">
        <f>H315+I315+N315+O315+P315+Q315+T315+X315+Y315+Z315+AA315+AB315+AM315+AO315</f>
        <v>1090.7</v>
      </c>
    </row>
    <row r="316" spans="1:46" ht="11.25" hidden="1" outlineLevel="3">
      <c r="A316" s="155" t="s">
        <v>152</v>
      </c>
      <c r="B316" s="155" t="s">
        <v>154</v>
      </c>
      <c r="C316" s="155" t="s">
        <v>133</v>
      </c>
      <c r="D316" s="156" t="s">
        <v>66</v>
      </c>
      <c r="E316" s="156" t="s">
        <v>166</v>
      </c>
      <c r="F316" s="157">
        <v>0</v>
      </c>
      <c r="G316" s="157">
        <v>6203</v>
      </c>
      <c r="H316" s="156">
        <v>1156.43</v>
      </c>
      <c r="I316" s="156">
        <v>38.49</v>
      </c>
      <c r="J316" s="156">
        <v>0</v>
      </c>
      <c r="K316" s="156">
        <v>16.670000000000002</v>
      </c>
      <c r="L316" s="156">
        <v>0</v>
      </c>
      <c r="M316" s="156">
        <v>0</v>
      </c>
      <c r="N316" s="156">
        <f>J316+K316+L316+M316</f>
        <v>16.670000000000002</v>
      </c>
      <c r="O316" s="156">
        <v>0</v>
      </c>
      <c r="P316" s="156">
        <v>0</v>
      </c>
      <c r="Q316" s="156">
        <v>0</v>
      </c>
      <c r="R316" s="156">
        <v>0</v>
      </c>
      <c r="S316" s="156">
        <v>0</v>
      </c>
      <c r="T316" s="156">
        <v>0</v>
      </c>
      <c r="U316" s="156">
        <v>0</v>
      </c>
      <c r="V316" s="156">
        <v>0</v>
      </c>
      <c r="W316" s="156">
        <v>0</v>
      </c>
      <c r="X316" s="156">
        <v>0</v>
      </c>
      <c r="Y316" s="156">
        <v>0</v>
      </c>
      <c r="Z316" s="156">
        <v>4.41</v>
      </c>
      <c r="AA316" s="156">
        <v>0</v>
      </c>
      <c r="AB316" s="156">
        <v>0</v>
      </c>
      <c r="AC316" s="156">
        <v>0</v>
      </c>
      <c r="AD316" s="156">
        <v>0</v>
      </c>
      <c r="AE316" s="156">
        <v>0</v>
      </c>
      <c r="AF316" s="156">
        <v>0</v>
      </c>
      <c r="AG316" s="156">
        <v>0</v>
      </c>
      <c r="AH316" s="156">
        <v>0</v>
      </c>
      <c r="AI316" s="156">
        <v>0</v>
      </c>
      <c r="AJ316" s="156">
        <v>0</v>
      </c>
      <c r="AK316" s="156">
        <v>0</v>
      </c>
      <c r="AL316" s="156">
        <v>63.7</v>
      </c>
      <c r="AM316" s="156">
        <v>-34.24</v>
      </c>
      <c r="AN316" s="156">
        <v>0</v>
      </c>
      <c r="AO316" s="156">
        <v>0</v>
      </c>
      <c r="AP316" s="156">
        <v>0</v>
      </c>
      <c r="AQ316" s="156">
        <v>0</v>
      </c>
      <c r="AR316" s="156">
        <v>0</v>
      </c>
      <c r="AS316" s="156">
        <v>0</v>
      </c>
      <c r="AT316" s="156">
        <f>H316+I316+N316+O316+P316+Q316+T316+X316+Y316+Z316+AA316+AB316+AM316+AO316</f>
        <v>1181.7600000000002</v>
      </c>
    </row>
    <row r="317" spans="1:46" ht="11.25" hidden="1" outlineLevel="3">
      <c r="A317" s="155" t="s">
        <v>152</v>
      </c>
      <c r="B317" s="155" t="s">
        <v>160</v>
      </c>
      <c r="C317" s="155" t="s">
        <v>133</v>
      </c>
      <c r="D317" s="156" t="s">
        <v>66</v>
      </c>
      <c r="E317" s="156" t="s">
        <v>166</v>
      </c>
      <c r="F317" s="157">
        <v>0</v>
      </c>
      <c r="G317" s="157">
        <v>7280</v>
      </c>
      <c r="H317" s="156">
        <v>1263.8599999999999</v>
      </c>
      <c r="I317" s="156">
        <v>49.5</v>
      </c>
      <c r="J317" s="156">
        <v>0</v>
      </c>
      <c r="K317" s="156">
        <v>8.4700000000000006</v>
      </c>
      <c r="L317" s="156">
        <v>0</v>
      </c>
      <c r="M317" s="156">
        <v>0</v>
      </c>
      <c r="N317" s="156">
        <f>J317+K317+L317+M317</f>
        <v>8.4700000000000006</v>
      </c>
      <c r="O317" s="156">
        <v>0</v>
      </c>
      <c r="P317" s="156">
        <v>0</v>
      </c>
      <c r="Q317" s="156">
        <v>0</v>
      </c>
      <c r="R317" s="156">
        <v>0</v>
      </c>
      <c r="S317" s="156">
        <v>0</v>
      </c>
      <c r="T317" s="156">
        <v>0</v>
      </c>
      <c r="U317" s="156">
        <v>0</v>
      </c>
      <c r="V317" s="156">
        <v>0</v>
      </c>
      <c r="W317" s="156">
        <v>0</v>
      </c>
      <c r="X317" s="156">
        <v>0</v>
      </c>
      <c r="Y317" s="156">
        <v>0</v>
      </c>
      <c r="Z317" s="156">
        <v>5.17</v>
      </c>
      <c r="AA317" s="156">
        <v>0</v>
      </c>
      <c r="AB317" s="156">
        <v>0</v>
      </c>
      <c r="AC317" s="156">
        <v>0</v>
      </c>
      <c r="AD317" s="156">
        <v>0</v>
      </c>
      <c r="AE317" s="156">
        <v>0</v>
      </c>
      <c r="AF317" s="156">
        <v>0</v>
      </c>
      <c r="AG317" s="156">
        <v>0</v>
      </c>
      <c r="AH317" s="156">
        <v>0</v>
      </c>
      <c r="AI317" s="156">
        <v>102.48</v>
      </c>
      <c r="AJ317" s="156">
        <v>0</v>
      </c>
      <c r="AK317" s="156">
        <v>0</v>
      </c>
      <c r="AL317" s="156">
        <v>92.19</v>
      </c>
      <c r="AM317" s="156">
        <v>-40.19</v>
      </c>
      <c r="AN317" s="156">
        <v>0</v>
      </c>
      <c r="AO317" s="156">
        <v>0</v>
      </c>
      <c r="AP317" s="156">
        <v>0</v>
      </c>
      <c r="AQ317" s="156">
        <v>0</v>
      </c>
      <c r="AR317" s="156">
        <v>0</v>
      </c>
      <c r="AS317" s="156">
        <v>0</v>
      </c>
      <c r="AT317" s="156">
        <f>H317+I317+N317+O317+P317+Q317+T317+X317+Y317+Z317+AA317+AB317+AM317+AO317</f>
        <v>1286.81</v>
      </c>
    </row>
    <row r="318" spans="1:46" ht="11.25" outlineLevel="2" collapsed="1">
      <c r="D318" s="156"/>
      <c r="E318" s="156" t="s">
        <v>232</v>
      </c>
      <c r="F318" s="157">
        <v>10</v>
      </c>
      <c r="G318" s="157">
        <f t="shared" ref="G318:AT318" si="49">SUBTOTAL(9,G315:G317)</f>
        <v>19323</v>
      </c>
      <c r="H318" s="156">
        <f t="shared" si="49"/>
        <v>3517.91</v>
      </c>
      <c r="I318" s="156">
        <f t="shared" si="49"/>
        <v>103.77000000000001</v>
      </c>
      <c r="J318" s="156">
        <f t="shared" si="49"/>
        <v>0</v>
      </c>
      <c r="K318" s="156">
        <f t="shared" si="49"/>
        <v>30.53</v>
      </c>
      <c r="L318" s="156">
        <f t="shared" si="49"/>
        <v>0</v>
      </c>
      <c r="M318" s="156">
        <f t="shared" si="49"/>
        <v>0</v>
      </c>
      <c r="N318" s="156">
        <f t="shared" si="49"/>
        <v>30.53</v>
      </c>
      <c r="O318" s="156">
        <f t="shared" si="49"/>
        <v>0</v>
      </c>
      <c r="P318" s="156">
        <f t="shared" si="49"/>
        <v>0</v>
      </c>
      <c r="Q318" s="156">
        <f t="shared" si="49"/>
        <v>0</v>
      </c>
      <c r="R318" s="156">
        <f t="shared" si="49"/>
        <v>0</v>
      </c>
      <c r="S318" s="156">
        <f t="shared" si="49"/>
        <v>0</v>
      </c>
      <c r="T318" s="156">
        <f t="shared" si="49"/>
        <v>0</v>
      </c>
      <c r="U318" s="156">
        <f t="shared" si="49"/>
        <v>0</v>
      </c>
      <c r="V318" s="156">
        <f t="shared" si="49"/>
        <v>0</v>
      </c>
      <c r="W318" s="156">
        <f t="shared" si="49"/>
        <v>0</v>
      </c>
      <c r="X318" s="156">
        <f t="shared" si="49"/>
        <v>0</v>
      </c>
      <c r="Y318" s="156">
        <f t="shared" si="49"/>
        <v>0</v>
      </c>
      <c r="Z318" s="156">
        <f t="shared" si="49"/>
        <v>13.73</v>
      </c>
      <c r="AA318" s="156">
        <f t="shared" si="49"/>
        <v>0</v>
      </c>
      <c r="AB318" s="156">
        <f t="shared" si="49"/>
        <v>0</v>
      </c>
      <c r="AC318" s="156">
        <f t="shared" si="49"/>
        <v>0</v>
      </c>
      <c r="AD318" s="156">
        <f t="shared" si="49"/>
        <v>0</v>
      </c>
      <c r="AE318" s="156">
        <f t="shared" si="49"/>
        <v>0</v>
      </c>
      <c r="AF318" s="156">
        <f t="shared" si="49"/>
        <v>0</v>
      </c>
      <c r="AG318" s="156">
        <f t="shared" si="49"/>
        <v>0</v>
      </c>
      <c r="AH318" s="156">
        <f t="shared" si="49"/>
        <v>0</v>
      </c>
      <c r="AI318" s="156">
        <f t="shared" si="49"/>
        <v>102.48</v>
      </c>
      <c r="AJ318" s="156">
        <f t="shared" si="49"/>
        <v>0</v>
      </c>
      <c r="AK318" s="156">
        <f t="shared" si="49"/>
        <v>0</v>
      </c>
      <c r="AL318" s="156">
        <f t="shared" si="49"/>
        <v>223.26</v>
      </c>
      <c r="AM318" s="156">
        <f t="shared" si="49"/>
        <v>-106.67</v>
      </c>
      <c r="AN318" s="156">
        <f t="shared" si="49"/>
        <v>0</v>
      </c>
      <c r="AO318" s="156">
        <f t="shared" si="49"/>
        <v>0</v>
      </c>
      <c r="AP318" s="156">
        <f t="shared" si="49"/>
        <v>0</v>
      </c>
      <c r="AQ318" s="156">
        <f t="shared" si="49"/>
        <v>0</v>
      </c>
      <c r="AR318" s="156">
        <f t="shared" si="49"/>
        <v>0</v>
      </c>
      <c r="AS318" s="156">
        <f t="shared" si="49"/>
        <v>0</v>
      </c>
      <c r="AT318" s="156">
        <f t="shared" si="49"/>
        <v>3559.27</v>
      </c>
    </row>
    <row r="319" spans="1:46" ht="11.25" hidden="1" outlineLevel="3">
      <c r="A319" s="155" t="s">
        <v>131</v>
      </c>
      <c r="B319" s="155" t="s">
        <v>132</v>
      </c>
      <c r="C319" s="155" t="s">
        <v>135</v>
      </c>
      <c r="D319" s="156" t="s">
        <v>66</v>
      </c>
      <c r="E319" s="156" t="s">
        <v>136</v>
      </c>
      <c r="F319" s="157">
        <v>0</v>
      </c>
      <c r="G319" s="157">
        <v>5882</v>
      </c>
      <c r="H319" s="156">
        <v>522.32000000000005</v>
      </c>
      <c r="I319" s="156">
        <v>7.35</v>
      </c>
      <c r="J319" s="156">
        <v>0</v>
      </c>
      <c r="K319" s="156">
        <v>0</v>
      </c>
      <c r="L319" s="156">
        <v>171.52</v>
      </c>
      <c r="M319" s="156">
        <v>0</v>
      </c>
      <c r="N319" s="156">
        <f t="shared" ref="N319:N328" si="50">J319+K319+L319+M319</f>
        <v>171.52</v>
      </c>
      <c r="O319" s="156">
        <v>8.4600000000000009</v>
      </c>
      <c r="P319" s="156">
        <v>12.58</v>
      </c>
      <c r="Q319" s="156">
        <v>0</v>
      </c>
      <c r="R319" s="156">
        <v>0</v>
      </c>
      <c r="S319" s="156">
        <v>0</v>
      </c>
      <c r="T319" s="156">
        <v>395.21</v>
      </c>
      <c r="U319" s="156">
        <v>0</v>
      </c>
      <c r="V319" s="156">
        <v>0</v>
      </c>
      <c r="W319" s="156">
        <v>0</v>
      </c>
      <c r="X319" s="156">
        <v>0</v>
      </c>
      <c r="Y319" s="156">
        <v>3.15</v>
      </c>
      <c r="Z319" s="156">
        <v>0</v>
      </c>
      <c r="AA319" s="156">
        <v>0</v>
      </c>
      <c r="AB319" s="156">
        <v>0</v>
      </c>
      <c r="AC319" s="156">
        <v>0</v>
      </c>
      <c r="AD319" s="156">
        <v>0</v>
      </c>
      <c r="AE319" s="156">
        <v>0</v>
      </c>
      <c r="AF319" s="156">
        <v>0</v>
      </c>
      <c r="AG319" s="156">
        <v>0</v>
      </c>
      <c r="AH319" s="156">
        <v>0</v>
      </c>
      <c r="AI319" s="156">
        <v>0</v>
      </c>
      <c r="AJ319" s="156">
        <v>0</v>
      </c>
      <c r="AK319" s="156">
        <v>0</v>
      </c>
      <c r="AL319" s="156">
        <v>9.35</v>
      </c>
      <c r="AM319" s="156">
        <v>-111.83</v>
      </c>
      <c r="AN319" s="156">
        <v>0</v>
      </c>
      <c r="AO319" s="156">
        <v>0</v>
      </c>
      <c r="AP319" s="156">
        <v>0</v>
      </c>
      <c r="AQ319" s="156">
        <v>0</v>
      </c>
      <c r="AR319" s="156">
        <v>0</v>
      </c>
      <c r="AS319" s="156">
        <v>0</v>
      </c>
      <c r="AT319" s="156">
        <f t="shared" ref="AT319:AT328" si="51">H319+I319+N319+O319+P319+Q319+T319+X319+Y319+Z319+AA319+AB319+AM319+AO319</f>
        <v>1008.7600000000001</v>
      </c>
    </row>
    <row r="320" spans="1:46" ht="11.25" hidden="1" outlineLevel="3">
      <c r="A320" s="155" t="s">
        <v>145</v>
      </c>
      <c r="B320" s="155" t="s">
        <v>146</v>
      </c>
      <c r="C320" s="155" t="s">
        <v>135</v>
      </c>
      <c r="D320" s="156" t="s">
        <v>66</v>
      </c>
      <c r="E320" s="156" t="s">
        <v>136</v>
      </c>
      <c r="F320" s="157">
        <v>0</v>
      </c>
      <c r="G320" s="157">
        <v>11837</v>
      </c>
      <c r="H320" s="156">
        <v>2444.5100000000002</v>
      </c>
      <c r="I320" s="156">
        <v>63.08</v>
      </c>
      <c r="J320" s="156">
        <v>0</v>
      </c>
      <c r="K320" s="156">
        <v>0</v>
      </c>
      <c r="L320" s="156">
        <v>0</v>
      </c>
      <c r="M320" s="156">
        <v>351.93</v>
      </c>
      <c r="N320" s="156">
        <f t="shared" si="50"/>
        <v>351.93</v>
      </c>
      <c r="O320" s="156">
        <v>0</v>
      </c>
      <c r="P320" s="156">
        <v>0</v>
      </c>
      <c r="Q320" s="156">
        <v>15.63</v>
      </c>
      <c r="R320" s="156">
        <v>0</v>
      </c>
      <c r="S320" s="156">
        <v>0</v>
      </c>
      <c r="T320" s="156">
        <v>0</v>
      </c>
      <c r="U320" s="156">
        <v>0</v>
      </c>
      <c r="V320" s="156">
        <v>0</v>
      </c>
      <c r="W320" s="156">
        <v>0</v>
      </c>
      <c r="X320" s="156">
        <v>0</v>
      </c>
      <c r="Y320" s="156">
        <v>0</v>
      </c>
      <c r="Z320" s="156">
        <v>0</v>
      </c>
      <c r="AA320" s="156">
        <v>0</v>
      </c>
      <c r="AB320" s="156">
        <v>0</v>
      </c>
      <c r="AC320" s="156">
        <v>0</v>
      </c>
      <c r="AD320" s="156">
        <v>0</v>
      </c>
      <c r="AE320" s="156">
        <v>0</v>
      </c>
      <c r="AF320" s="156">
        <v>0</v>
      </c>
      <c r="AG320" s="156">
        <v>0</v>
      </c>
      <c r="AH320" s="156">
        <v>0</v>
      </c>
      <c r="AI320" s="156">
        <v>38.9</v>
      </c>
      <c r="AJ320" s="156">
        <v>0</v>
      </c>
      <c r="AK320" s="156">
        <v>0</v>
      </c>
      <c r="AL320" s="156">
        <v>248.02</v>
      </c>
      <c r="AM320" s="156">
        <v>0</v>
      </c>
      <c r="AN320" s="156">
        <v>0</v>
      </c>
      <c r="AO320" s="156">
        <v>23.43</v>
      </c>
      <c r="AP320" s="156">
        <v>0</v>
      </c>
      <c r="AQ320" s="156">
        <v>0</v>
      </c>
      <c r="AR320" s="156">
        <v>0</v>
      </c>
      <c r="AS320" s="156">
        <v>0</v>
      </c>
      <c r="AT320" s="156">
        <f t="shared" si="51"/>
        <v>2898.58</v>
      </c>
    </row>
    <row r="321" spans="1:46" ht="11.25" hidden="1" outlineLevel="3">
      <c r="A321" s="155" t="s">
        <v>145</v>
      </c>
      <c r="B321" s="155" t="s">
        <v>147</v>
      </c>
      <c r="C321" s="155" t="s">
        <v>135</v>
      </c>
      <c r="D321" s="156" t="s">
        <v>66</v>
      </c>
      <c r="E321" s="156" t="s">
        <v>136</v>
      </c>
      <c r="F321" s="157">
        <v>0</v>
      </c>
      <c r="G321" s="157">
        <v>1171</v>
      </c>
      <c r="H321" s="156">
        <v>349.41</v>
      </c>
      <c r="I321" s="156">
        <v>0</v>
      </c>
      <c r="J321" s="156">
        <v>0</v>
      </c>
      <c r="K321" s="156">
        <v>0</v>
      </c>
      <c r="L321" s="156">
        <v>0</v>
      </c>
      <c r="M321" s="156">
        <v>34.53</v>
      </c>
      <c r="N321" s="156">
        <f t="shared" si="50"/>
        <v>34.53</v>
      </c>
      <c r="O321" s="156">
        <v>0</v>
      </c>
      <c r="P321" s="156">
        <v>0</v>
      </c>
      <c r="Q321" s="156">
        <v>1.56</v>
      </c>
      <c r="R321" s="156">
        <v>0</v>
      </c>
      <c r="S321" s="156">
        <v>0</v>
      </c>
      <c r="T321" s="156">
        <v>0</v>
      </c>
      <c r="U321" s="156">
        <v>0</v>
      </c>
      <c r="V321" s="156">
        <v>0</v>
      </c>
      <c r="W321" s="156">
        <v>0</v>
      </c>
      <c r="X321" s="156">
        <v>0</v>
      </c>
      <c r="Y321" s="156">
        <v>0</v>
      </c>
      <c r="Z321" s="156">
        <v>0</v>
      </c>
      <c r="AA321" s="156">
        <v>0</v>
      </c>
      <c r="AB321" s="156">
        <v>0</v>
      </c>
      <c r="AC321" s="156">
        <v>0</v>
      </c>
      <c r="AD321" s="156">
        <v>0</v>
      </c>
      <c r="AE321" s="156">
        <v>0</v>
      </c>
      <c r="AF321" s="156">
        <v>0</v>
      </c>
      <c r="AG321" s="156">
        <v>0</v>
      </c>
      <c r="AH321" s="156">
        <v>0</v>
      </c>
      <c r="AI321" s="156">
        <v>3.56</v>
      </c>
      <c r="AJ321" s="156">
        <v>0</v>
      </c>
      <c r="AK321" s="156">
        <v>0</v>
      </c>
      <c r="AL321" s="156">
        <v>31.18</v>
      </c>
      <c r="AM321" s="156">
        <v>0</v>
      </c>
      <c r="AN321" s="156">
        <v>0</v>
      </c>
      <c r="AO321" s="156">
        <v>2.3199999999999998</v>
      </c>
      <c r="AP321" s="156">
        <v>0</v>
      </c>
      <c r="AQ321" s="156">
        <v>0</v>
      </c>
      <c r="AR321" s="156">
        <v>0</v>
      </c>
      <c r="AS321" s="156">
        <v>0</v>
      </c>
      <c r="AT321" s="156">
        <f t="shared" si="51"/>
        <v>387.82000000000005</v>
      </c>
    </row>
    <row r="322" spans="1:46" ht="11.25" hidden="1" outlineLevel="3">
      <c r="A322" s="155" t="s">
        <v>152</v>
      </c>
      <c r="B322" s="155" t="s">
        <v>153</v>
      </c>
      <c r="C322" s="155" t="s">
        <v>135</v>
      </c>
      <c r="D322" s="156" t="s">
        <v>66</v>
      </c>
      <c r="E322" s="156" t="s">
        <v>136</v>
      </c>
      <c r="F322" s="157">
        <v>0</v>
      </c>
      <c r="G322" s="157">
        <v>6169</v>
      </c>
      <c r="H322" s="156">
        <v>1553.22</v>
      </c>
      <c r="I322" s="156">
        <v>0</v>
      </c>
      <c r="J322" s="156">
        <v>0</v>
      </c>
      <c r="K322" s="156">
        <v>17.8</v>
      </c>
      <c r="L322" s="156">
        <v>0</v>
      </c>
      <c r="M322" s="156">
        <v>0</v>
      </c>
      <c r="N322" s="156">
        <f t="shared" si="50"/>
        <v>17.8</v>
      </c>
      <c r="O322" s="156">
        <v>0</v>
      </c>
      <c r="P322" s="156">
        <v>0</v>
      </c>
      <c r="Q322" s="156">
        <v>0</v>
      </c>
      <c r="R322" s="156">
        <v>0</v>
      </c>
      <c r="S322" s="156">
        <v>0</v>
      </c>
      <c r="T322" s="156">
        <v>0</v>
      </c>
      <c r="U322" s="156">
        <v>0</v>
      </c>
      <c r="V322" s="156">
        <v>0</v>
      </c>
      <c r="W322" s="156">
        <v>0</v>
      </c>
      <c r="X322" s="156">
        <v>0</v>
      </c>
      <c r="Y322" s="156">
        <v>0</v>
      </c>
      <c r="Z322" s="156">
        <v>0</v>
      </c>
      <c r="AA322" s="156">
        <v>0</v>
      </c>
      <c r="AB322" s="156">
        <v>0</v>
      </c>
      <c r="AC322" s="156">
        <v>0</v>
      </c>
      <c r="AD322" s="156">
        <v>0</v>
      </c>
      <c r="AE322" s="156">
        <v>0</v>
      </c>
      <c r="AF322" s="156">
        <v>0</v>
      </c>
      <c r="AG322" s="156">
        <v>0</v>
      </c>
      <c r="AH322" s="156">
        <v>0</v>
      </c>
      <c r="AI322" s="156">
        <v>5.61</v>
      </c>
      <c r="AJ322" s="156">
        <v>0</v>
      </c>
      <c r="AK322" s="156">
        <v>0</v>
      </c>
      <c r="AL322" s="156">
        <v>82.72</v>
      </c>
      <c r="AM322" s="156">
        <v>-67.709999999999994</v>
      </c>
      <c r="AN322" s="156">
        <v>0</v>
      </c>
      <c r="AO322" s="156">
        <v>0</v>
      </c>
      <c r="AP322" s="156">
        <v>0</v>
      </c>
      <c r="AQ322" s="156">
        <v>0</v>
      </c>
      <c r="AR322" s="156">
        <v>0</v>
      </c>
      <c r="AS322" s="156">
        <v>0</v>
      </c>
      <c r="AT322" s="156">
        <f t="shared" si="51"/>
        <v>1503.31</v>
      </c>
    </row>
    <row r="323" spans="1:46" ht="11.25" hidden="1" outlineLevel="3">
      <c r="A323" s="155" t="s">
        <v>152</v>
      </c>
      <c r="B323" s="155" t="s">
        <v>154</v>
      </c>
      <c r="C323" s="155" t="s">
        <v>135</v>
      </c>
      <c r="D323" s="156" t="s">
        <v>66</v>
      </c>
      <c r="E323" s="156" t="s">
        <v>136</v>
      </c>
      <c r="F323" s="157">
        <v>0</v>
      </c>
      <c r="G323" s="157">
        <v>515</v>
      </c>
      <c r="H323" s="156">
        <v>182.15</v>
      </c>
      <c r="I323" s="156">
        <v>5.66</v>
      </c>
      <c r="J323" s="156">
        <v>0</v>
      </c>
      <c r="K323" s="156">
        <v>0.52</v>
      </c>
      <c r="L323" s="156">
        <v>0</v>
      </c>
      <c r="M323" s="156">
        <v>0</v>
      </c>
      <c r="N323" s="156">
        <f t="shared" si="50"/>
        <v>0.52</v>
      </c>
      <c r="O323" s="156">
        <v>0</v>
      </c>
      <c r="P323" s="156">
        <v>0</v>
      </c>
      <c r="Q323" s="156">
        <v>0</v>
      </c>
      <c r="R323" s="156">
        <v>0</v>
      </c>
      <c r="S323" s="156">
        <v>0</v>
      </c>
      <c r="T323" s="156">
        <v>0</v>
      </c>
      <c r="U323" s="156">
        <v>0</v>
      </c>
      <c r="V323" s="156">
        <v>0</v>
      </c>
      <c r="W323" s="156">
        <v>0</v>
      </c>
      <c r="X323" s="156">
        <v>0</v>
      </c>
      <c r="Y323" s="156">
        <v>0</v>
      </c>
      <c r="Z323" s="156">
        <v>0</v>
      </c>
      <c r="AA323" s="156">
        <v>0</v>
      </c>
      <c r="AB323" s="156">
        <v>0</v>
      </c>
      <c r="AC323" s="156">
        <v>0</v>
      </c>
      <c r="AD323" s="156">
        <v>0</v>
      </c>
      <c r="AE323" s="156">
        <v>0</v>
      </c>
      <c r="AF323" s="156">
        <v>0</v>
      </c>
      <c r="AG323" s="156">
        <v>0</v>
      </c>
      <c r="AH323" s="156">
        <v>0</v>
      </c>
      <c r="AI323" s="156">
        <v>0</v>
      </c>
      <c r="AJ323" s="156">
        <v>0</v>
      </c>
      <c r="AK323" s="156">
        <v>0</v>
      </c>
      <c r="AL323" s="156">
        <v>11.08</v>
      </c>
      <c r="AM323" s="156">
        <v>-5.66</v>
      </c>
      <c r="AN323" s="156">
        <v>0</v>
      </c>
      <c r="AO323" s="156">
        <v>0</v>
      </c>
      <c r="AP323" s="156">
        <v>0</v>
      </c>
      <c r="AQ323" s="156">
        <v>0</v>
      </c>
      <c r="AR323" s="156">
        <v>0</v>
      </c>
      <c r="AS323" s="156">
        <v>0</v>
      </c>
      <c r="AT323" s="156">
        <f t="shared" si="51"/>
        <v>182.67000000000002</v>
      </c>
    </row>
    <row r="324" spans="1:46" ht="11.25" hidden="1" outlineLevel="3">
      <c r="A324" s="155" t="s">
        <v>152</v>
      </c>
      <c r="B324" s="155" t="s">
        <v>155</v>
      </c>
      <c r="C324" s="155" t="s">
        <v>135</v>
      </c>
      <c r="D324" s="156" t="s">
        <v>66</v>
      </c>
      <c r="E324" s="156" t="s">
        <v>136</v>
      </c>
      <c r="F324" s="157">
        <v>0</v>
      </c>
      <c r="G324" s="157">
        <v>164</v>
      </c>
      <c r="H324" s="156">
        <v>60.73</v>
      </c>
      <c r="I324" s="156">
        <v>0</v>
      </c>
      <c r="J324" s="156">
        <v>0</v>
      </c>
      <c r="K324" s="156">
        <v>0.11</v>
      </c>
      <c r="L324" s="156">
        <v>0</v>
      </c>
      <c r="M324" s="156">
        <v>0</v>
      </c>
      <c r="N324" s="156">
        <f t="shared" si="50"/>
        <v>0.11</v>
      </c>
      <c r="O324" s="156">
        <v>0</v>
      </c>
      <c r="P324" s="156">
        <v>0</v>
      </c>
      <c r="Q324" s="156">
        <v>0</v>
      </c>
      <c r="R324" s="156">
        <v>0</v>
      </c>
      <c r="S324" s="156">
        <v>0</v>
      </c>
      <c r="T324" s="156">
        <v>0</v>
      </c>
      <c r="U324" s="156">
        <v>0</v>
      </c>
      <c r="V324" s="156">
        <v>0</v>
      </c>
      <c r="W324" s="156">
        <v>0</v>
      </c>
      <c r="X324" s="156">
        <v>0</v>
      </c>
      <c r="Y324" s="156">
        <v>0</v>
      </c>
      <c r="Z324" s="156">
        <v>0</v>
      </c>
      <c r="AA324" s="156">
        <v>0</v>
      </c>
      <c r="AB324" s="156">
        <v>0</v>
      </c>
      <c r="AC324" s="156">
        <v>0</v>
      </c>
      <c r="AD324" s="156">
        <v>0</v>
      </c>
      <c r="AE324" s="156">
        <v>0</v>
      </c>
      <c r="AF324" s="156">
        <v>0</v>
      </c>
      <c r="AG324" s="156">
        <v>0</v>
      </c>
      <c r="AH324" s="156">
        <v>0</v>
      </c>
      <c r="AI324" s="156">
        <v>0</v>
      </c>
      <c r="AJ324" s="156">
        <v>0</v>
      </c>
      <c r="AK324" s="156">
        <v>0</v>
      </c>
      <c r="AL324" s="156">
        <v>1.1100000000000001</v>
      </c>
      <c r="AM324" s="156">
        <v>-1.8</v>
      </c>
      <c r="AN324" s="156">
        <v>0</v>
      </c>
      <c r="AO324" s="156">
        <v>0</v>
      </c>
      <c r="AP324" s="156">
        <v>0</v>
      </c>
      <c r="AQ324" s="156">
        <v>0</v>
      </c>
      <c r="AR324" s="156">
        <v>0</v>
      </c>
      <c r="AS324" s="156">
        <v>0</v>
      </c>
      <c r="AT324" s="156">
        <f t="shared" si="51"/>
        <v>59.04</v>
      </c>
    </row>
    <row r="325" spans="1:46" ht="11.25" hidden="1" outlineLevel="3">
      <c r="A325" s="155" t="s">
        <v>152</v>
      </c>
      <c r="B325" s="155" t="s">
        <v>157</v>
      </c>
      <c r="C325" s="155" t="s">
        <v>135</v>
      </c>
      <c r="D325" s="156" t="s">
        <v>66</v>
      </c>
      <c r="E325" s="156" t="s">
        <v>136</v>
      </c>
      <c r="F325" s="157">
        <v>0</v>
      </c>
      <c r="G325" s="157">
        <v>13653</v>
      </c>
      <c r="H325" s="156">
        <v>3579.53</v>
      </c>
      <c r="I325" s="156">
        <v>194.93</v>
      </c>
      <c r="J325" s="156">
        <v>0</v>
      </c>
      <c r="K325" s="156">
        <v>37.28</v>
      </c>
      <c r="L325" s="156">
        <v>0</v>
      </c>
      <c r="M325" s="156">
        <v>0</v>
      </c>
      <c r="N325" s="156">
        <f t="shared" si="50"/>
        <v>37.28</v>
      </c>
      <c r="O325" s="156">
        <v>0</v>
      </c>
      <c r="P325" s="156">
        <v>0</v>
      </c>
      <c r="Q325" s="156">
        <v>0</v>
      </c>
      <c r="R325" s="156">
        <v>0</v>
      </c>
      <c r="S325" s="156">
        <v>0</v>
      </c>
      <c r="T325" s="156">
        <v>0</v>
      </c>
      <c r="U325" s="156">
        <v>0</v>
      </c>
      <c r="V325" s="156">
        <v>0</v>
      </c>
      <c r="W325" s="156">
        <v>0</v>
      </c>
      <c r="X325" s="156">
        <v>0</v>
      </c>
      <c r="Y325" s="156">
        <v>0</v>
      </c>
      <c r="Z325" s="156">
        <v>0</v>
      </c>
      <c r="AA325" s="156">
        <v>0</v>
      </c>
      <c r="AB325" s="156">
        <v>0</v>
      </c>
      <c r="AC325" s="156">
        <v>0</v>
      </c>
      <c r="AD325" s="156">
        <v>0</v>
      </c>
      <c r="AE325" s="156">
        <v>0</v>
      </c>
      <c r="AF325" s="156">
        <v>0</v>
      </c>
      <c r="AG325" s="156">
        <v>0</v>
      </c>
      <c r="AH325" s="156">
        <v>0</v>
      </c>
      <c r="AI325" s="156">
        <v>4.1100000000000003</v>
      </c>
      <c r="AJ325" s="156">
        <v>0</v>
      </c>
      <c r="AK325" s="156">
        <v>0</v>
      </c>
      <c r="AL325" s="156">
        <v>178.94</v>
      </c>
      <c r="AM325" s="156">
        <v>-149.9</v>
      </c>
      <c r="AN325" s="156">
        <v>0</v>
      </c>
      <c r="AO325" s="156">
        <v>0</v>
      </c>
      <c r="AP325" s="156">
        <v>0</v>
      </c>
      <c r="AQ325" s="156">
        <v>0</v>
      </c>
      <c r="AR325" s="156">
        <v>0</v>
      </c>
      <c r="AS325" s="156">
        <v>0</v>
      </c>
      <c r="AT325" s="156">
        <f t="shared" si="51"/>
        <v>3661.84</v>
      </c>
    </row>
    <row r="326" spans="1:46" ht="11.25" hidden="1" outlineLevel="3">
      <c r="A326" s="155" t="s">
        <v>152</v>
      </c>
      <c r="B326" s="155" t="s">
        <v>137</v>
      </c>
      <c r="C326" s="155" t="s">
        <v>135</v>
      </c>
      <c r="D326" s="156" t="s">
        <v>66</v>
      </c>
      <c r="E326" s="156" t="s">
        <v>136</v>
      </c>
      <c r="F326" s="157">
        <v>0</v>
      </c>
      <c r="G326" s="157">
        <v>11707</v>
      </c>
      <c r="H326" s="156">
        <v>2863.22</v>
      </c>
      <c r="I326" s="156">
        <v>0</v>
      </c>
      <c r="J326" s="156">
        <v>0</v>
      </c>
      <c r="K326" s="156">
        <v>24.65</v>
      </c>
      <c r="L326" s="156">
        <v>0</v>
      </c>
      <c r="M326" s="156">
        <v>0</v>
      </c>
      <c r="N326" s="156">
        <f t="shared" si="50"/>
        <v>24.65</v>
      </c>
      <c r="O326" s="156">
        <v>0</v>
      </c>
      <c r="P326" s="156">
        <v>0</v>
      </c>
      <c r="Q326" s="156">
        <v>0</v>
      </c>
      <c r="R326" s="156">
        <v>0</v>
      </c>
      <c r="S326" s="156">
        <v>0</v>
      </c>
      <c r="T326" s="156">
        <v>0</v>
      </c>
      <c r="U326" s="156">
        <v>0</v>
      </c>
      <c r="V326" s="156">
        <v>0</v>
      </c>
      <c r="W326" s="156">
        <v>0</v>
      </c>
      <c r="X326" s="156">
        <v>0</v>
      </c>
      <c r="Y326" s="156">
        <v>0</v>
      </c>
      <c r="Z326" s="156">
        <v>0</v>
      </c>
      <c r="AA326" s="156">
        <v>0</v>
      </c>
      <c r="AB326" s="156">
        <v>0</v>
      </c>
      <c r="AC326" s="156">
        <v>0</v>
      </c>
      <c r="AD326" s="156">
        <v>0</v>
      </c>
      <c r="AE326" s="156">
        <v>0</v>
      </c>
      <c r="AF326" s="156">
        <v>0</v>
      </c>
      <c r="AG326" s="156">
        <v>0</v>
      </c>
      <c r="AH326" s="156">
        <v>0</v>
      </c>
      <c r="AI326" s="156">
        <v>0.25</v>
      </c>
      <c r="AJ326" s="156">
        <v>0</v>
      </c>
      <c r="AK326" s="156">
        <v>0</v>
      </c>
      <c r="AL326" s="156">
        <v>90.25</v>
      </c>
      <c r="AM326" s="156">
        <v>-128.54</v>
      </c>
      <c r="AN326" s="156">
        <v>0</v>
      </c>
      <c r="AO326" s="156">
        <v>0</v>
      </c>
      <c r="AP326" s="156">
        <v>0</v>
      </c>
      <c r="AQ326" s="156">
        <v>0</v>
      </c>
      <c r="AR326" s="156">
        <v>0</v>
      </c>
      <c r="AS326" s="156">
        <v>0</v>
      </c>
      <c r="AT326" s="156">
        <f t="shared" si="51"/>
        <v>2759.33</v>
      </c>
    </row>
    <row r="327" spans="1:46" ht="11.25" hidden="1" outlineLevel="3">
      <c r="A327" s="155" t="s">
        <v>152</v>
      </c>
      <c r="B327" s="155" t="s">
        <v>160</v>
      </c>
      <c r="C327" s="155" t="s">
        <v>135</v>
      </c>
      <c r="D327" s="156" t="s">
        <v>66</v>
      </c>
      <c r="E327" s="156" t="s">
        <v>136</v>
      </c>
      <c r="F327" s="157">
        <v>0</v>
      </c>
      <c r="G327" s="157">
        <v>2308</v>
      </c>
      <c r="H327" s="156">
        <v>961.78</v>
      </c>
      <c r="I327" s="156">
        <v>0</v>
      </c>
      <c r="J327" s="156">
        <v>0</v>
      </c>
      <c r="K327" s="156">
        <v>6.29</v>
      </c>
      <c r="L327" s="156">
        <v>0</v>
      </c>
      <c r="M327" s="156">
        <v>0</v>
      </c>
      <c r="N327" s="156">
        <f t="shared" si="50"/>
        <v>6.29</v>
      </c>
      <c r="O327" s="156">
        <v>0</v>
      </c>
      <c r="P327" s="156">
        <v>0</v>
      </c>
      <c r="Q327" s="156">
        <v>0</v>
      </c>
      <c r="R327" s="156">
        <v>0</v>
      </c>
      <c r="S327" s="156">
        <v>0</v>
      </c>
      <c r="T327" s="156">
        <v>0</v>
      </c>
      <c r="U327" s="156">
        <v>0</v>
      </c>
      <c r="V327" s="156">
        <v>0</v>
      </c>
      <c r="W327" s="156">
        <v>0</v>
      </c>
      <c r="X327" s="156">
        <v>0</v>
      </c>
      <c r="Y327" s="156">
        <v>0</v>
      </c>
      <c r="Z327" s="156">
        <v>0</v>
      </c>
      <c r="AA327" s="156">
        <v>0</v>
      </c>
      <c r="AB327" s="156">
        <v>0</v>
      </c>
      <c r="AC327" s="156">
        <v>0</v>
      </c>
      <c r="AD327" s="156">
        <v>0</v>
      </c>
      <c r="AE327" s="156">
        <v>0</v>
      </c>
      <c r="AF327" s="156">
        <v>0</v>
      </c>
      <c r="AG327" s="156">
        <v>0</v>
      </c>
      <c r="AH327" s="156">
        <v>0</v>
      </c>
      <c r="AI327" s="156">
        <v>24.52</v>
      </c>
      <c r="AJ327" s="156">
        <v>0</v>
      </c>
      <c r="AK327" s="156">
        <v>0</v>
      </c>
      <c r="AL327" s="156">
        <v>47.96</v>
      </c>
      <c r="AM327" s="156">
        <v>-25.35</v>
      </c>
      <c r="AN327" s="156">
        <v>0</v>
      </c>
      <c r="AO327" s="156">
        <v>0</v>
      </c>
      <c r="AP327" s="156">
        <v>0</v>
      </c>
      <c r="AQ327" s="156">
        <v>0</v>
      </c>
      <c r="AR327" s="156">
        <v>0</v>
      </c>
      <c r="AS327" s="156">
        <v>0</v>
      </c>
      <c r="AT327" s="156">
        <f t="shared" si="51"/>
        <v>942.71999999999991</v>
      </c>
    </row>
    <row r="328" spans="1:46" ht="11.25" hidden="1" outlineLevel="3">
      <c r="A328" s="155" t="s">
        <v>167</v>
      </c>
      <c r="B328" s="155" t="s">
        <v>146</v>
      </c>
      <c r="C328" s="155" t="s">
        <v>135</v>
      </c>
      <c r="D328" s="156" t="s">
        <v>66</v>
      </c>
      <c r="E328" s="156" t="s">
        <v>136</v>
      </c>
      <c r="F328" s="157">
        <v>0</v>
      </c>
      <c r="G328" s="157">
        <v>1059</v>
      </c>
      <c r="H328" s="156">
        <v>306.32</v>
      </c>
      <c r="I328" s="156">
        <v>0</v>
      </c>
      <c r="J328" s="156">
        <v>29.17</v>
      </c>
      <c r="K328" s="156">
        <v>0</v>
      </c>
      <c r="L328" s="156">
        <v>0</v>
      </c>
      <c r="M328" s="156">
        <v>0</v>
      </c>
      <c r="N328" s="156">
        <f t="shared" si="50"/>
        <v>29.17</v>
      </c>
      <c r="O328" s="156">
        <v>0</v>
      </c>
      <c r="P328" s="156">
        <v>0</v>
      </c>
      <c r="Q328" s="156">
        <v>0</v>
      </c>
      <c r="R328" s="156">
        <v>0</v>
      </c>
      <c r="S328" s="156">
        <v>0</v>
      </c>
      <c r="T328" s="156">
        <v>0</v>
      </c>
      <c r="U328" s="156">
        <v>0</v>
      </c>
      <c r="V328" s="156">
        <v>0</v>
      </c>
      <c r="W328" s="156">
        <v>0</v>
      </c>
      <c r="X328" s="156">
        <v>0.09</v>
      </c>
      <c r="Y328" s="156">
        <v>0</v>
      </c>
      <c r="Z328" s="156">
        <v>0</v>
      </c>
      <c r="AA328" s="156">
        <v>0</v>
      </c>
      <c r="AB328" s="156">
        <v>0</v>
      </c>
      <c r="AC328" s="156">
        <v>0</v>
      </c>
      <c r="AD328" s="156">
        <v>0</v>
      </c>
      <c r="AE328" s="156">
        <v>0</v>
      </c>
      <c r="AF328" s="156">
        <v>0</v>
      </c>
      <c r="AG328" s="156">
        <v>0</v>
      </c>
      <c r="AH328" s="156">
        <v>0</v>
      </c>
      <c r="AI328" s="156">
        <v>5.14</v>
      </c>
      <c r="AJ328" s="156">
        <v>0</v>
      </c>
      <c r="AK328" s="156">
        <v>0</v>
      </c>
      <c r="AL328" s="156">
        <v>30.86</v>
      </c>
      <c r="AM328" s="156">
        <v>0</v>
      </c>
      <c r="AN328" s="156">
        <v>0</v>
      </c>
      <c r="AO328" s="156">
        <v>0</v>
      </c>
      <c r="AP328" s="156">
        <v>0</v>
      </c>
      <c r="AQ328" s="156">
        <v>0</v>
      </c>
      <c r="AR328" s="156">
        <v>0</v>
      </c>
      <c r="AS328" s="156">
        <v>0</v>
      </c>
      <c r="AT328" s="156">
        <f t="shared" si="51"/>
        <v>335.58</v>
      </c>
    </row>
    <row r="329" spans="1:46" ht="11.25" outlineLevel="2" collapsed="1">
      <c r="D329" s="156"/>
      <c r="E329" s="156" t="s">
        <v>213</v>
      </c>
      <c r="F329" s="157">
        <v>1</v>
      </c>
      <c r="G329" s="157">
        <f t="shared" ref="G329:AT329" si="52">SUBTOTAL(9,G319:G328)</f>
        <v>54465</v>
      </c>
      <c r="H329" s="156">
        <f t="shared" si="52"/>
        <v>12823.189999999999</v>
      </c>
      <c r="I329" s="156">
        <f t="shared" si="52"/>
        <v>271.02</v>
      </c>
      <c r="J329" s="156">
        <f t="shared" si="52"/>
        <v>29.17</v>
      </c>
      <c r="K329" s="156">
        <f t="shared" si="52"/>
        <v>86.65</v>
      </c>
      <c r="L329" s="156">
        <f t="shared" si="52"/>
        <v>171.52</v>
      </c>
      <c r="M329" s="156">
        <f t="shared" si="52"/>
        <v>386.46000000000004</v>
      </c>
      <c r="N329" s="156">
        <f t="shared" si="52"/>
        <v>673.79999999999984</v>
      </c>
      <c r="O329" s="156">
        <f t="shared" si="52"/>
        <v>8.4600000000000009</v>
      </c>
      <c r="P329" s="156">
        <f t="shared" si="52"/>
        <v>12.58</v>
      </c>
      <c r="Q329" s="156">
        <f t="shared" si="52"/>
        <v>17.190000000000001</v>
      </c>
      <c r="R329" s="156">
        <f t="shared" si="52"/>
        <v>0</v>
      </c>
      <c r="S329" s="156">
        <f t="shared" si="52"/>
        <v>0</v>
      </c>
      <c r="T329" s="156">
        <f t="shared" si="52"/>
        <v>395.21</v>
      </c>
      <c r="U329" s="156">
        <f t="shared" si="52"/>
        <v>0</v>
      </c>
      <c r="V329" s="156">
        <f t="shared" si="52"/>
        <v>0</v>
      </c>
      <c r="W329" s="156">
        <f t="shared" si="52"/>
        <v>0</v>
      </c>
      <c r="X329" s="156">
        <f t="shared" si="52"/>
        <v>0.09</v>
      </c>
      <c r="Y329" s="156">
        <f t="shared" si="52"/>
        <v>3.15</v>
      </c>
      <c r="Z329" s="156">
        <f t="shared" si="52"/>
        <v>0</v>
      </c>
      <c r="AA329" s="156">
        <f t="shared" si="52"/>
        <v>0</v>
      </c>
      <c r="AB329" s="156">
        <f t="shared" si="52"/>
        <v>0</v>
      </c>
      <c r="AC329" s="156">
        <f t="shared" si="52"/>
        <v>0</v>
      </c>
      <c r="AD329" s="156">
        <f t="shared" si="52"/>
        <v>0</v>
      </c>
      <c r="AE329" s="156">
        <f t="shared" si="52"/>
        <v>0</v>
      </c>
      <c r="AF329" s="156">
        <f t="shared" si="52"/>
        <v>0</v>
      </c>
      <c r="AG329" s="156">
        <f t="shared" si="52"/>
        <v>0</v>
      </c>
      <c r="AH329" s="156">
        <f t="shared" si="52"/>
        <v>0</v>
      </c>
      <c r="AI329" s="156">
        <f t="shared" si="52"/>
        <v>82.09</v>
      </c>
      <c r="AJ329" s="156">
        <f t="shared" si="52"/>
        <v>0</v>
      </c>
      <c r="AK329" s="156">
        <f t="shared" si="52"/>
        <v>0</v>
      </c>
      <c r="AL329" s="156">
        <f t="shared" si="52"/>
        <v>731.47</v>
      </c>
      <c r="AM329" s="156">
        <f t="shared" si="52"/>
        <v>-490.78999999999996</v>
      </c>
      <c r="AN329" s="156">
        <f t="shared" si="52"/>
        <v>0</v>
      </c>
      <c r="AO329" s="156">
        <f t="shared" si="52"/>
        <v>25.75</v>
      </c>
      <c r="AP329" s="156">
        <f t="shared" si="52"/>
        <v>0</v>
      </c>
      <c r="AQ329" s="156">
        <f t="shared" si="52"/>
        <v>0</v>
      </c>
      <c r="AR329" s="156">
        <f t="shared" si="52"/>
        <v>0</v>
      </c>
      <c r="AS329" s="156">
        <f t="shared" si="52"/>
        <v>0</v>
      </c>
      <c r="AT329" s="156">
        <f t="shared" si="52"/>
        <v>13739.65</v>
      </c>
    </row>
    <row r="330" spans="1:46" ht="11.25" hidden="1" outlineLevel="3">
      <c r="A330" s="155" t="s">
        <v>131</v>
      </c>
      <c r="B330" s="155" t="s">
        <v>132</v>
      </c>
      <c r="C330" s="155" t="s">
        <v>133</v>
      </c>
      <c r="D330" s="156" t="s">
        <v>66</v>
      </c>
      <c r="E330" s="156" t="s">
        <v>142</v>
      </c>
      <c r="F330" s="157">
        <v>0</v>
      </c>
      <c r="G330" s="157">
        <v>5339151</v>
      </c>
      <c r="H330" s="156">
        <v>237742.42</v>
      </c>
      <c r="I330" s="156">
        <v>150</v>
      </c>
      <c r="J330" s="156">
        <v>0</v>
      </c>
      <c r="K330" s="156">
        <v>0</v>
      </c>
      <c r="L330" s="156">
        <v>155689.65</v>
      </c>
      <c r="M330" s="156">
        <v>0</v>
      </c>
      <c r="N330" s="156">
        <f>J330+K330+L330+M330</f>
        <v>155689.65</v>
      </c>
      <c r="O330" s="156">
        <v>13614.83</v>
      </c>
      <c r="P330" s="156">
        <v>20490.599999999999</v>
      </c>
      <c r="Q330" s="156">
        <v>0</v>
      </c>
      <c r="R330" s="156">
        <v>0</v>
      </c>
      <c r="S330" s="156">
        <v>0</v>
      </c>
      <c r="T330" s="156">
        <v>9959.9</v>
      </c>
      <c r="U330" s="156">
        <v>0</v>
      </c>
      <c r="V330" s="156">
        <v>0</v>
      </c>
      <c r="W330" s="156">
        <v>0</v>
      </c>
      <c r="X330" s="156">
        <v>0</v>
      </c>
      <c r="Y330" s="156">
        <v>3268.8</v>
      </c>
      <c r="Z330" s="156">
        <v>0</v>
      </c>
      <c r="AA330" s="156">
        <v>13177.75</v>
      </c>
      <c r="AB330" s="156">
        <v>0</v>
      </c>
      <c r="AC330" s="156">
        <v>0</v>
      </c>
      <c r="AD330" s="156">
        <v>0</v>
      </c>
      <c r="AE330" s="156">
        <v>0</v>
      </c>
      <c r="AF330" s="156">
        <v>0</v>
      </c>
      <c r="AG330" s="156">
        <v>0</v>
      </c>
      <c r="AH330" s="156">
        <v>0</v>
      </c>
      <c r="AI330" s="156">
        <v>0</v>
      </c>
      <c r="AJ330" s="156">
        <v>0</v>
      </c>
      <c r="AK330" s="156">
        <v>0</v>
      </c>
      <c r="AL330" s="156">
        <v>0</v>
      </c>
      <c r="AM330" s="156">
        <v>-51875.4</v>
      </c>
      <c r="AN330" s="156">
        <v>0</v>
      </c>
      <c r="AO330" s="156">
        <v>0</v>
      </c>
      <c r="AP330" s="156">
        <v>0</v>
      </c>
      <c r="AQ330" s="156">
        <v>0</v>
      </c>
      <c r="AR330" s="156">
        <v>0</v>
      </c>
      <c r="AS330" s="156">
        <v>0</v>
      </c>
      <c r="AT330" s="156">
        <f>H330+I330+N330+O330+P330+Q330+T330+X330+Y330+Z330+AA330+AB330+AM330+AO330</f>
        <v>402218.55</v>
      </c>
    </row>
    <row r="331" spans="1:46" ht="11.25" hidden="1" outlineLevel="3">
      <c r="A331" s="155" t="s">
        <v>145</v>
      </c>
      <c r="B331" s="155" t="s">
        <v>146</v>
      </c>
      <c r="C331" s="155" t="s">
        <v>133</v>
      </c>
      <c r="D331" s="156" t="s">
        <v>66</v>
      </c>
      <c r="E331" s="156" t="s">
        <v>142</v>
      </c>
      <c r="F331" s="157">
        <v>0</v>
      </c>
      <c r="G331" s="157">
        <v>2775493</v>
      </c>
      <c r="H331" s="156">
        <v>89489.05</v>
      </c>
      <c r="I331" s="156">
        <v>50</v>
      </c>
      <c r="J331" s="156">
        <v>0</v>
      </c>
      <c r="K331" s="156">
        <v>0</v>
      </c>
      <c r="L331" s="156">
        <v>0</v>
      </c>
      <c r="M331" s="156">
        <v>86983.95</v>
      </c>
      <c r="N331" s="156">
        <f>J331+K331+L331+M331</f>
        <v>86983.95</v>
      </c>
      <c r="O331" s="156">
        <v>0</v>
      </c>
      <c r="P331" s="156">
        <v>0</v>
      </c>
      <c r="Q331" s="156">
        <v>3663.65</v>
      </c>
      <c r="R331" s="156">
        <v>0</v>
      </c>
      <c r="S331" s="156">
        <v>0</v>
      </c>
      <c r="T331" s="156">
        <v>7670.8</v>
      </c>
      <c r="U331" s="156">
        <v>0</v>
      </c>
      <c r="V331" s="156">
        <v>0</v>
      </c>
      <c r="W331" s="156">
        <v>0</v>
      </c>
      <c r="X331" s="156">
        <v>0</v>
      </c>
      <c r="Y331" s="156">
        <v>0</v>
      </c>
      <c r="Z331" s="156">
        <v>0</v>
      </c>
      <c r="AA331" s="156">
        <v>0</v>
      </c>
      <c r="AB331" s="156">
        <v>0</v>
      </c>
      <c r="AC331" s="156">
        <v>0</v>
      </c>
      <c r="AD331" s="156">
        <v>0</v>
      </c>
      <c r="AE331" s="156">
        <v>0</v>
      </c>
      <c r="AF331" s="156">
        <v>0</v>
      </c>
      <c r="AG331" s="156">
        <v>0</v>
      </c>
      <c r="AH331" s="156">
        <v>0</v>
      </c>
      <c r="AI331" s="156">
        <v>644.38</v>
      </c>
      <c r="AJ331" s="156">
        <v>0</v>
      </c>
      <c r="AK331" s="156">
        <v>0</v>
      </c>
      <c r="AL331" s="156">
        <v>15604.71</v>
      </c>
      <c r="AM331" s="156">
        <v>0</v>
      </c>
      <c r="AN331" s="156">
        <v>0</v>
      </c>
      <c r="AO331" s="156">
        <v>16983.79</v>
      </c>
      <c r="AP331" s="156">
        <v>0</v>
      </c>
      <c r="AQ331" s="156">
        <v>0</v>
      </c>
      <c r="AR331" s="156">
        <v>0</v>
      </c>
      <c r="AS331" s="156">
        <v>0</v>
      </c>
      <c r="AT331" s="156">
        <f>H331+I331+N331+O331+P331+Q331+T331+X331+Y331+Z331+AA331+AB331+AM331+AO331</f>
        <v>204841.24</v>
      </c>
    </row>
    <row r="332" spans="1:46" ht="11.25" hidden="1" outlineLevel="3">
      <c r="A332" s="155" t="s">
        <v>145</v>
      </c>
      <c r="B332" s="155" t="s">
        <v>147</v>
      </c>
      <c r="C332" s="155" t="s">
        <v>133</v>
      </c>
      <c r="D332" s="156" t="s">
        <v>66</v>
      </c>
      <c r="E332" s="156" t="s">
        <v>142</v>
      </c>
      <c r="F332" s="157">
        <v>0</v>
      </c>
      <c r="G332" s="157">
        <v>1044000</v>
      </c>
      <c r="H332" s="156">
        <v>56061.1</v>
      </c>
      <c r="I332" s="156">
        <v>0</v>
      </c>
      <c r="J332" s="156">
        <v>0</v>
      </c>
      <c r="K332" s="156">
        <v>0</v>
      </c>
      <c r="L332" s="156">
        <v>0</v>
      </c>
      <c r="M332" s="156">
        <v>32718.959999999999</v>
      </c>
      <c r="N332" s="156">
        <f>J332+K332+L332+M332</f>
        <v>32718.959999999999</v>
      </c>
      <c r="O332" s="156">
        <v>0</v>
      </c>
      <c r="P332" s="156">
        <v>0</v>
      </c>
      <c r="Q332" s="156">
        <v>1378.08</v>
      </c>
      <c r="R332" s="156">
        <v>0</v>
      </c>
      <c r="S332" s="156">
        <v>0</v>
      </c>
      <c r="T332" s="156">
        <v>2620.46</v>
      </c>
      <c r="U332" s="156">
        <v>0</v>
      </c>
      <c r="V332" s="156">
        <v>0</v>
      </c>
      <c r="W332" s="156">
        <v>0</v>
      </c>
      <c r="X332" s="156">
        <v>0</v>
      </c>
      <c r="Y332" s="156">
        <v>0</v>
      </c>
      <c r="Z332" s="156">
        <v>0</v>
      </c>
      <c r="AA332" s="156">
        <v>0</v>
      </c>
      <c r="AB332" s="156">
        <v>0</v>
      </c>
      <c r="AC332" s="156">
        <v>0</v>
      </c>
      <c r="AD332" s="156">
        <v>0</v>
      </c>
      <c r="AE332" s="156">
        <v>0</v>
      </c>
      <c r="AF332" s="156">
        <v>0</v>
      </c>
      <c r="AG332" s="156">
        <v>0</v>
      </c>
      <c r="AH332" s="156">
        <v>0</v>
      </c>
      <c r="AI332" s="156">
        <v>0</v>
      </c>
      <c r="AJ332" s="156">
        <v>0</v>
      </c>
      <c r="AK332" s="156">
        <v>0</v>
      </c>
      <c r="AL332" s="156">
        <v>1241.8399999999999</v>
      </c>
      <c r="AM332" s="156">
        <v>0</v>
      </c>
      <c r="AN332" s="156">
        <v>0</v>
      </c>
      <c r="AO332" s="156">
        <v>12697.78</v>
      </c>
      <c r="AP332" s="156">
        <v>0</v>
      </c>
      <c r="AQ332" s="156">
        <v>0</v>
      </c>
      <c r="AR332" s="156">
        <v>0</v>
      </c>
      <c r="AS332" s="156">
        <v>0</v>
      </c>
      <c r="AT332" s="156">
        <f>H332+I332+N332+O332+P332+Q332+T332+X332+Y332+Z332+AA332+AB332+AM332+AO332</f>
        <v>105476.38</v>
      </c>
    </row>
    <row r="333" spans="1:46" ht="11.25" hidden="1" outlineLevel="3">
      <c r="A333" s="155" t="s">
        <v>167</v>
      </c>
      <c r="B333" s="155" t="s">
        <v>146</v>
      </c>
      <c r="C333" s="155" t="s">
        <v>133</v>
      </c>
      <c r="D333" s="156" t="s">
        <v>66</v>
      </c>
      <c r="E333" s="156" t="s">
        <v>142</v>
      </c>
      <c r="F333" s="157">
        <v>0</v>
      </c>
      <c r="G333" s="157">
        <v>1961589</v>
      </c>
      <c r="H333" s="156">
        <v>103569.4</v>
      </c>
      <c r="I333" s="156">
        <v>0</v>
      </c>
      <c r="J333" s="156">
        <v>53494.26</v>
      </c>
      <c r="K333" s="156">
        <v>0</v>
      </c>
      <c r="L333" s="156">
        <v>0</v>
      </c>
      <c r="M333" s="156">
        <v>0</v>
      </c>
      <c r="N333" s="156">
        <f>J333+K333+L333+M333</f>
        <v>53494.26</v>
      </c>
      <c r="O333" s="156">
        <v>0</v>
      </c>
      <c r="P333" s="156">
        <v>0</v>
      </c>
      <c r="Q333" s="156">
        <v>0</v>
      </c>
      <c r="R333" s="156">
        <v>0</v>
      </c>
      <c r="S333" s="156">
        <v>0</v>
      </c>
      <c r="T333" s="156">
        <v>6905.05</v>
      </c>
      <c r="U333" s="156">
        <v>0</v>
      </c>
      <c r="V333" s="156">
        <v>0</v>
      </c>
      <c r="W333" s="156">
        <v>0</v>
      </c>
      <c r="X333" s="156">
        <v>313.86</v>
      </c>
      <c r="Y333" s="156">
        <v>0</v>
      </c>
      <c r="Z333" s="156">
        <v>0</v>
      </c>
      <c r="AA333" s="156">
        <v>0</v>
      </c>
      <c r="AB333" s="156">
        <v>0</v>
      </c>
      <c r="AC333" s="156">
        <v>0</v>
      </c>
      <c r="AD333" s="156">
        <v>0</v>
      </c>
      <c r="AE333" s="156">
        <v>0</v>
      </c>
      <c r="AF333" s="156">
        <v>0</v>
      </c>
      <c r="AG333" s="156">
        <v>0</v>
      </c>
      <c r="AH333" s="156">
        <v>0</v>
      </c>
      <c r="AI333" s="156">
        <v>0.34</v>
      </c>
      <c r="AJ333" s="156">
        <v>0</v>
      </c>
      <c r="AK333" s="156">
        <v>0</v>
      </c>
      <c r="AL333" s="156">
        <v>0</v>
      </c>
      <c r="AM333" s="156">
        <v>-10690.66</v>
      </c>
      <c r="AN333" s="156">
        <v>0</v>
      </c>
      <c r="AO333" s="156">
        <v>0</v>
      </c>
      <c r="AP333" s="156">
        <v>0</v>
      </c>
      <c r="AQ333" s="156">
        <v>0</v>
      </c>
      <c r="AR333" s="156">
        <v>0</v>
      </c>
      <c r="AS333" s="156">
        <v>0</v>
      </c>
      <c r="AT333" s="156">
        <f>H333+I333+N333+O333+P333+Q333+T333+X333+Y333+Z333+AA333+AB333+AM333+AO333</f>
        <v>153591.90999999997</v>
      </c>
    </row>
    <row r="334" spans="1:46" ht="11.25" outlineLevel="2" collapsed="1">
      <c r="D334" s="156"/>
      <c r="E334" s="156" t="s">
        <v>225</v>
      </c>
      <c r="F334" s="157">
        <v>12</v>
      </c>
      <c r="G334" s="157">
        <f t="shared" ref="G334:AT334" si="53">SUBTOTAL(9,G330:G333)</f>
        <v>11120233</v>
      </c>
      <c r="H334" s="156">
        <f t="shared" si="53"/>
        <v>486861.97</v>
      </c>
      <c r="I334" s="156">
        <f t="shared" si="53"/>
        <v>200</v>
      </c>
      <c r="J334" s="156">
        <f t="shared" si="53"/>
        <v>53494.26</v>
      </c>
      <c r="K334" s="156">
        <f t="shared" si="53"/>
        <v>0</v>
      </c>
      <c r="L334" s="156">
        <f t="shared" si="53"/>
        <v>155689.65</v>
      </c>
      <c r="M334" s="156">
        <f t="shared" si="53"/>
        <v>119702.91</v>
      </c>
      <c r="N334" s="156">
        <f t="shared" si="53"/>
        <v>328886.82</v>
      </c>
      <c r="O334" s="156">
        <f t="shared" si="53"/>
        <v>13614.83</v>
      </c>
      <c r="P334" s="156">
        <f t="shared" si="53"/>
        <v>20490.599999999999</v>
      </c>
      <c r="Q334" s="156">
        <f t="shared" si="53"/>
        <v>5041.7299999999996</v>
      </c>
      <c r="R334" s="156">
        <f t="shared" si="53"/>
        <v>0</v>
      </c>
      <c r="S334" s="156">
        <f t="shared" si="53"/>
        <v>0</v>
      </c>
      <c r="T334" s="156">
        <f t="shared" si="53"/>
        <v>27156.21</v>
      </c>
      <c r="U334" s="156">
        <f t="shared" si="53"/>
        <v>0</v>
      </c>
      <c r="V334" s="156">
        <f t="shared" si="53"/>
        <v>0</v>
      </c>
      <c r="W334" s="156">
        <f t="shared" si="53"/>
        <v>0</v>
      </c>
      <c r="X334" s="156">
        <f t="shared" si="53"/>
        <v>313.86</v>
      </c>
      <c r="Y334" s="156">
        <f t="shared" si="53"/>
        <v>3268.8</v>
      </c>
      <c r="Z334" s="156">
        <f t="shared" si="53"/>
        <v>0</v>
      </c>
      <c r="AA334" s="156">
        <f t="shared" si="53"/>
        <v>13177.75</v>
      </c>
      <c r="AB334" s="156">
        <f t="shared" si="53"/>
        <v>0</v>
      </c>
      <c r="AC334" s="156">
        <f t="shared" si="53"/>
        <v>0</v>
      </c>
      <c r="AD334" s="156">
        <f t="shared" si="53"/>
        <v>0</v>
      </c>
      <c r="AE334" s="156">
        <f t="shared" si="53"/>
        <v>0</v>
      </c>
      <c r="AF334" s="156">
        <f t="shared" si="53"/>
        <v>0</v>
      </c>
      <c r="AG334" s="156">
        <f t="shared" si="53"/>
        <v>0</v>
      </c>
      <c r="AH334" s="156">
        <f t="shared" si="53"/>
        <v>0</v>
      </c>
      <c r="AI334" s="156">
        <f t="shared" si="53"/>
        <v>644.72</v>
      </c>
      <c r="AJ334" s="156">
        <f t="shared" si="53"/>
        <v>0</v>
      </c>
      <c r="AK334" s="156">
        <f t="shared" si="53"/>
        <v>0</v>
      </c>
      <c r="AL334" s="156">
        <f t="shared" si="53"/>
        <v>16846.55</v>
      </c>
      <c r="AM334" s="156">
        <f t="shared" si="53"/>
        <v>-62566.06</v>
      </c>
      <c r="AN334" s="156">
        <f t="shared" si="53"/>
        <v>0</v>
      </c>
      <c r="AO334" s="156">
        <f t="shared" si="53"/>
        <v>29681.57</v>
      </c>
      <c r="AP334" s="156">
        <f t="shared" si="53"/>
        <v>0</v>
      </c>
      <c r="AQ334" s="156">
        <f t="shared" si="53"/>
        <v>0</v>
      </c>
      <c r="AR334" s="156">
        <f t="shared" si="53"/>
        <v>0</v>
      </c>
      <c r="AS334" s="156">
        <f t="shared" si="53"/>
        <v>0</v>
      </c>
      <c r="AT334" s="156">
        <f t="shared" si="53"/>
        <v>866128.08000000007</v>
      </c>
    </row>
    <row r="335" spans="1:46" ht="11.25" hidden="1" outlineLevel="3">
      <c r="A335" s="155" t="s">
        <v>152</v>
      </c>
      <c r="B335" s="155" t="s">
        <v>137</v>
      </c>
      <c r="C335" s="155" t="s">
        <v>133</v>
      </c>
      <c r="D335" s="156" t="s">
        <v>66</v>
      </c>
      <c r="E335" s="156" t="s">
        <v>195</v>
      </c>
      <c r="F335" s="157">
        <v>0</v>
      </c>
      <c r="G335" s="157">
        <v>5787792</v>
      </c>
      <c r="H335" s="156">
        <v>315975.99</v>
      </c>
      <c r="I335" s="156">
        <v>0</v>
      </c>
      <c r="J335" s="156">
        <v>0</v>
      </c>
      <c r="K335" s="156">
        <v>19967.88</v>
      </c>
      <c r="L335" s="156">
        <v>0</v>
      </c>
      <c r="M335" s="156">
        <v>0</v>
      </c>
      <c r="N335" s="156">
        <f>J335+K335+L335+M335</f>
        <v>19967.88</v>
      </c>
      <c r="O335" s="156">
        <v>0</v>
      </c>
      <c r="P335" s="156">
        <v>0</v>
      </c>
      <c r="Q335" s="156">
        <v>0</v>
      </c>
      <c r="R335" s="156">
        <v>0</v>
      </c>
      <c r="S335" s="156">
        <v>0</v>
      </c>
      <c r="T335" s="156">
        <v>72</v>
      </c>
      <c r="U335" s="156">
        <v>0</v>
      </c>
      <c r="V335" s="156">
        <v>0</v>
      </c>
      <c r="W335" s="156">
        <v>0</v>
      </c>
      <c r="X335" s="156">
        <v>0</v>
      </c>
      <c r="Y335" s="156">
        <v>0</v>
      </c>
      <c r="Z335" s="156">
        <v>0</v>
      </c>
      <c r="AA335" s="156">
        <v>0</v>
      </c>
      <c r="AB335" s="156">
        <v>0</v>
      </c>
      <c r="AC335" s="156">
        <v>0</v>
      </c>
      <c r="AD335" s="156">
        <v>0</v>
      </c>
      <c r="AE335" s="156">
        <v>0</v>
      </c>
      <c r="AF335" s="156">
        <v>0</v>
      </c>
      <c r="AG335" s="156">
        <v>0</v>
      </c>
      <c r="AH335" s="156">
        <v>0</v>
      </c>
      <c r="AI335" s="156">
        <v>16091.79</v>
      </c>
      <c r="AJ335" s="156">
        <v>0</v>
      </c>
      <c r="AK335" s="156">
        <v>0</v>
      </c>
      <c r="AL335" s="156">
        <v>0</v>
      </c>
      <c r="AM335" s="156">
        <v>-14180.09</v>
      </c>
      <c r="AN335" s="156">
        <v>0</v>
      </c>
      <c r="AO335" s="156">
        <v>0</v>
      </c>
      <c r="AP335" s="156">
        <v>0</v>
      </c>
      <c r="AQ335" s="156">
        <v>0</v>
      </c>
      <c r="AR335" s="156">
        <v>0</v>
      </c>
      <c r="AS335" s="156">
        <v>0</v>
      </c>
      <c r="AT335" s="156">
        <f>H335+I335+N335+O335+P335+Q335+T335+X335+Y335+Z335+AA335+AB335+AM335+AO335</f>
        <v>321835.77999999997</v>
      </c>
    </row>
    <row r="336" spans="1:46" ht="11.25" outlineLevel="2" collapsed="1">
      <c r="D336" s="156"/>
      <c r="E336" s="156" t="s">
        <v>233</v>
      </c>
      <c r="F336" s="157">
        <v>1</v>
      </c>
      <c r="G336" s="157">
        <f t="shared" ref="G336:AT336" si="54">SUBTOTAL(9,G335:G335)</f>
        <v>5787792</v>
      </c>
      <c r="H336" s="156">
        <f t="shared" si="54"/>
        <v>315975.99</v>
      </c>
      <c r="I336" s="156">
        <f t="shared" si="54"/>
        <v>0</v>
      </c>
      <c r="J336" s="156">
        <f t="shared" si="54"/>
        <v>0</v>
      </c>
      <c r="K336" s="156">
        <f t="shared" si="54"/>
        <v>19967.88</v>
      </c>
      <c r="L336" s="156">
        <f t="shared" si="54"/>
        <v>0</v>
      </c>
      <c r="M336" s="156">
        <f t="shared" si="54"/>
        <v>0</v>
      </c>
      <c r="N336" s="156">
        <f t="shared" si="54"/>
        <v>19967.88</v>
      </c>
      <c r="O336" s="156">
        <f t="shared" si="54"/>
        <v>0</v>
      </c>
      <c r="P336" s="156">
        <f t="shared" si="54"/>
        <v>0</v>
      </c>
      <c r="Q336" s="156">
        <f t="shared" si="54"/>
        <v>0</v>
      </c>
      <c r="R336" s="156">
        <f t="shared" si="54"/>
        <v>0</v>
      </c>
      <c r="S336" s="156">
        <f t="shared" si="54"/>
        <v>0</v>
      </c>
      <c r="T336" s="156">
        <f t="shared" si="54"/>
        <v>72</v>
      </c>
      <c r="U336" s="156">
        <f t="shared" si="54"/>
        <v>0</v>
      </c>
      <c r="V336" s="156">
        <f t="shared" si="54"/>
        <v>0</v>
      </c>
      <c r="W336" s="156">
        <f t="shared" si="54"/>
        <v>0</v>
      </c>
      <c r="X336" s="156">
        <f t="shared" si="54"/>
        <v>0</v>
      </c>
      <c r="Y336" s="156">
        <f t="shared" si="54"/>
        <v>0</v>
      </c>
      <c r="Z336" s="156">
        <f t="shared" si="54"/>
        <v>0</v>
      </c>
      <c r="AA336" s="156">
        <f t="shared" si="54"/>
        <v>0</v>
      </c>
      <c r="AB336" s="156">
        <f t="shared" si="54"/>
        <v>0</v>
      </c>
      <c r="AC336" s="156">
        <f t="shared" si="54"/>
        <v>0</v>
      </c>
      <c r="AD336" s="156">
        <f t="shared" si="54"/>
        <v>0</v>
      </c>
      <c r="AE336" s="156">
        <f t="shared" si="54"/>
        <v>0</v>
      </c>
      <c r="AF336" s="156">
        <f t="shared" si="54"/>
        <v>0</v>
      </c>
      <c r="AG336" s="156">
        <f t="shared" si="54"/>
        <v>0</v>
      </c>
      <c r="AH336" s="156">
        <f t="shared" si="54"/>
        <v>0</v>
      </c>
      <c r="AI336" s="156">
        <f t="shared" si="54"/>
        <v>16091.79</v>
      </c>
      <c r="AJ336" s="156">
        <f t="shared" si="54"/>
        <v>0</v>
      </c>
      <c r="AK336" s="156">
        <f t="shared" si="54"/>
        <v>0</v>
      </c>
      <c r="AL336" s="156">
        <f t="shared" si="54"/>
        <v>0</v>
      </c>
      <c r="AM336" s="156">
        <f t="shared" si="54"/>
        <v>-14180.09</v>
      </c>
      <c r="AN336" s="156">
        <f t="shared" si="54"/>
        <v>0</v>
      </c>
      <c r="AO336" s="156">
        <f t="shared" si="54"/>
        <v>0</v>
      </c>
      <c r="AP336" s="156">
        <f t="shared" si="54"/>
        <v>0</v>
      </c>
      <c r="AQ336" s="156">
        <f t="shared" si="54"/>
        <v>0</v>
      </c>
      <c r="AR336" s="156">
        <f t="shared" si="54"/>
        <v>0</v>
      </c>
      <c r="AS336" s="156">
        <f t="shared" si="54"/>
        <v>0</v>
      </c>
      <c r="AT336" s="156">
        <f t="shared" si="54"/>
        <v>321835.77999999997</v>
      </c>
    </row>
    <row r="337" spans="1:46" ht="11.25" hidden="1" outlineLevel="3">
      <c r="A337" s="155" t="s">
        <v>145</v>
      </c>
      <c r="B337" s="155" t="s">
        <v>146</v>
      </c>
      <c r="C337" s="155" t="s">
        <v>133</v>
      </c>
      <c r="D337" s="156" t="s">
        <v>66</v>
      </c>
      <c r="E337" s="156" t="s">
        <v>150</v>
      </c>
      <c r="F337" s="157">
        <v>0</v>
      </c>
      <c r="G337" s="157">
        <v>6899</v>
      </c>
      <c r="H337" s="156">
        <v>528.08000000000004</v>
      </c>
      <c r="I337" s="156">
        <v>0</v>
      </c>
      <c r="J337" s="156">
        <v>0</v>
      </c>
      <c r="K337" s="156">
        <v>0</v>
      </c>
      <c r="L337" s="156">
        <v>0</v>
      </c>
      <c r="M337" s="156">
        <v>201.45</v>
      </c>
      <c r="N337" s="156">
        <f>J337+K337+L337+M337</f>
        <v>201.45</v>
      </c>
      <c r="O337" s="156">
        <v>0</v>
      </c>
      <c r="P337" s="156">
        <v>0</v>
      </c>
      <c r="Q337" s="156">
        <v>9.11</v>
      </c>
      <c r="R337" s="156">
        <v>0</v>
      </c>
      <c r="S337" s="156">
        <v>0</v>
      </c>
      <c r="T337" s="156">
        <v>0</v>
      </c>
      <c r="U337" s="156">
        <v>0</v>
      </c>
      <c r="V337" s="156">
        <v>0</v>
      </c>
      <c r="W337" s="156">
        <v>0</v>
      </c>
      <c r="X337" s="156">
        <v>0</v>
      </c>
      <c r="Y337" s="156">
        <v>0</v>
      </c>
      <c r="Z337" s="156">
        <v>0</v>
      </c>
      <c r="AA337" s="156">
        <v>0</v>
      </c>
      <c r="AB337" s="156">
        <v>0</v>
      </c>
      <c r="AC337" s="156">
        <v>0</v>
      </c>
      <c r="AD337" s="156">
        <v>0</v>
      </c>
      <c r="AE337" s="156">
        <v>0</v>
      </c>
      <c r="AF337" s="156">
        <v>0</v>
      </c>
      <c r="AG337" s="156">
        <v>0</v>
      </c>
      <c r="AH337" s="156">
        <v>0</v>
      </c>
      <c r="AI337" s="156">
        <v>24.84</v>
      </c>
      <c r="AJ337" s="156">
        <v>0</v>
      </c>
      <c r="AK337" s="156">
        <v>0</v>
      </c>
      <c r="AL337" s="156">
        <v>65.86</v>
      </c>
      <c r="AM337" s="156">
        <v>0</v>
      </c>
      <c r="AN337" s="156">
        <v>0</v>
      </c>
      <c r="AO337" s="156">
        <v>84.31</v>
      </c>
      <c r="AP337" s="156">
        <v>0</v>
      </c>
      <c r="AQ337" s="156">
        <v>0</v>
      </c>
      <c r="AR337" s="156">
        <v>0</v>
      </c>
      <c r="AS337" s="156">
        <v>0</v>
      </c>
      <c r="AT337" s="156">
        <f>H337+I337+N337+O337+P337+Q337+T337+X337+Y337+Z337+AA337+AB337+AM337+AO337</f>
        <v>822.95</v>
      </c>
    </row>
    <row r="338" spans="1:46" ht="11.25" hidden="1" outlineLevel="3">
      <c r="A338" s="155" t="s">
        <v>145</v>
      </c>
      <c r="B338" s="155" t="s">
        <v>147</v>
      </c>
      <c r="C338" s="155" t="s">
        <v>133</v>
      </c>
      <c r="D338" s="156" t="s">
        <v>66</v>
      </c>
      <c r="E338" s="156" t="s">
        <v>150</v>
      </c>
      <c r="F338" s="157">
        <v>0</v>
      </c>
      <c r="G338" s="157">
        <v>7267</v>
      </c>
      <c r="H338" s="156">
        <v>612.11</v>
      </c>
      <c r="I338" s="156">
        <v>0</v>
      </c>
      <c r="J338" s="156">
        <v>0</v>
      </c>
      <c r="K338" s="156">
        <v>0</v>
      </c>
      <c r="L338" s="156">
        <v>0</v>
      </c>
      <c r="M338" s="156">
        <v>210.55</v>
      </c>
      <c r="N338" s="156">
        <f>J338+K338+L338+M338</f>
        <v>210.55</v>
      </c>
      <c r="O338" s="156">
        <v>0</v>
      </c>
      <c r="P338" s="156">
        <v>0</v>
      </c>
      <c r="Q338" s="156">
        <v>9.59</v>
      </c>
      <c r="R338" s="156">
        <v>0</v>
      </c>
      <c r="S338" s="156">
        <v>0</v>
      </c>
      <c r="T338" s="156">
        <v>0</v>
      </c>
      <c r="U338" s="156">
        <v>0</v>
      </c>
      <c r="V338" s="156">
        <v>0</v>
      </c>
      <c r="W338" s="156">
        <v>0</v>
      </c>
      <c r="X338" s="156">
        <v>0</v>
      </c>
      <c r="Y338" s="156">
        <v>0</v>
      </c>
      <c r="Z338" s="156">
        <v>0</v>
      </c>
      <c r="AA338" s="156">
        <v>0</v>
      </c>
      <c r="AB338" s="156">
        <v>0</v>
      </c>
      <c r="AC338" s="156">
        <v>0</v>
      </c>
      <c r="AD338" s="156">
        <v>0</v>
      </c>
      <c r="AE338" s="156">
        <v>0</v>
      </c>
      <c r="AF338" s="156">
        <v>0</v>
      </c>
      <c r="AG338" s="156">
        <v>0</v>
      </c>
      <c r="AH338" s="156">
        <v>0</v>
      </c>
      <c r="AI338" s="156">
        <v>0</v>
      </c>
      <c r="AJ338" s="156">
        <v>0</v>
      </c>
      <c r="AK338" s="156">
        <v>0</v>
      </c>
      <c r="AL338" s="156">
        <v>36.17</v>
      </c>
      <c r="AM338" s="156">
        <v>0</v>
      </c>
      <c r="AN338" s="156">
        <v>0</v>
      </c>
      <c r="AO338" s="156">
        <v>88.8</v>
      </c>
      <c r="AP338" s="156">
        <v>0</v>
      </c>
      <c r="AQ338" s="156">
        <v>0</v>
      </c>
      <c r="AR338" s="156">
        <v>0</v>
      </c>
      <c r="AS338" s="156">
        <v>0</v>
      </c>
      <c r="AT338" s="156">
        <f>H338+I338+N338+O338+P338+Q338+T338+X338+Y338+Z338+AA338+AB338+AM338+AO338</f>
        <v>921.05000000000007</v>
      </c>
    </row>
    <row r="339" spans="1:46" ht="11.25" hidden="1" outlineLevel="3">
      <c r="A339" s="155" t="s">
        <v>152</v>
      </c>
      <c r="B339" s="155" t="s">
        <v>154</v>
      </c>
      <c r="C339" s="155" t="s">
        <v>133</v>
      </c>
      <c r="D339" s="156" t="s">
        <v>66</v>
      </c>
      <c r="E339" s="156" t="s">
        <v>150</v>
      </c>
      <c r="F339" s="157">
        <v>0</v>
      </c>
      <c r="G339" s="157">
        <v>640</v>
      </c>
      <c r="H339" s="156">
        <v>105.07</v>
      </c>
      <c r="I339" s="156">
        <v>2.0699999999999998</v>
      </c>
      <c r="J339" s="156">
        <v>0</v>
      </c>
      <c r="K339" s="156">
        <v>1.1000000000000001</v>
      </c>
      <c r="L339" s="156">
        <v>0</v>
      </c>
      <c r="M339" s="156">
        <v>0</v>
      </c>
      <c r="N339" s="156">
        <f>J339+K339+L339+M339</f>
        <v>1.1000000000000001</v>
      </c>
      <c r="O339" s="156">
        <v>0</v>
      </c>
      <c r="P339" s="156">
        <v>0</v>
      </c>
      <c r="Q339" s="156">
        <v>0</v>
      </c>
      <c r="R339" s="156">
        <v>0</v>
      </c>
      <c r="S339" s="156">
        <v>0</v>
      </c>
      <c r="T339" s="156">
        <v>0</v>
      </c>
      <c r="U339" s="156">
        <v>0</v>
      </c>
      <c r="V339" s="156">
        <v>0</v>
      </c>
      <c r="W339" s="156">
        <v>0</v>
      </c>
      <c r="X339" s="156">
        <v>0</v>
      </c>
      <c r="Y339" s="156">
        <v>0</v>
      </c>
      <c r="Z339" s="156">
        <v>0.45</v>
      </c>
      <c r="AA339" s="156">
        <v>0</v>
      </c>
      <c r="AB339" s="156">
        <v>0</v>
      </c>
      <c r="AC339" s="156">
        <v>0</v>
      </c>
      <c r="AD339" s="156">
        <v>0</v>
      </c>
      <c r="AE339" s="156">
        <v>0</v>
      </c>
      <c r="AF339" s="156">
        <v>0</v>
      </c>
      <c r="AG339" s="156">
        <v>0</v>
      </c>
      <c r="AH339" s="156">
        <v>0</v>
      </c>
      <c r="AI339" s="156">
        <v>0</v>
      </c>
      <c r="AJ339" s="156">
        <v>0</v>
      </c>
      <c r="AK339" s="156">
        <v>0</v>
      </c>
      <c r="AL339" s="156">
        <v>8.01</v>
      </c>
      <c r="AM339" s="156">
        <v>-3.04</v>
      </c>
      <c r="AN339" s="156">
        <v>0</v>
      </c>
      <c r="AO339" s="156">
        <v>0</v>
      </c>
      <c r="AP339" s="156">
        <v>0</v>
      </c>
      <c r="AQ339" s="156">
        <v>0</v>
      </c>
      <c r="AR339" s="156">
        <v>0</v>
      </c>
      <c r="AS339" s="156">
        <v>0</v>
      </c>
      <c r="AT339" s="156">
        <f>H339+I339+N339+O339+P339+Q339+T339+X339+Y339+Z339+AA339+AB339+AM339+AO339</f>
        <v>105.64999999999998</v>
      </c>
    </row>
    <row r="340" spans="1:46" ht="11.25" hidden="1" outlineLevel="3">
      <c r="A340" s="155" t="s">
        <v>152</v>
      </c>
      <c r="B340" s="155" t="s">
        <v>155</v>
      </c>
      <c r="C340" s="155" t="s">
        <v>133</v>
      </c>
      <c r="D340" s="156" t="s">
        <v>66</v>
      </c>
      <c r="E340" s="156" t="s">
        <v>150</v>
      </c>
      <c r="F340" s="157">
        <v>0</v>
      </c>
      <c r="G340" s="157">
        <v>20189</v>
      </c>
      <c r="H340" s="156">
        <v>2250.75</v>
      </c>
      <c r="I340" s="156">
        <v>27.11</v>
      </c>
      <c r="J340" s="156">
        <v>0</v>
      </c>
      <c r="K340" s="156">
        <v>11.28</v>
      </c>
      <c r="L340" s="156">
        <v>0</v>
      </c>
      <c r="M340" s="156">
        <v>0</v>
      </c>
      <c r="N340" s="156">
        <f>J340+K340+L340+M340</f>
        <v>11.28</v>
      </c>
      <c r="O340" s="156">
        <v>0</v>
      </c>
      <c r="P340" s="156">
        <v>0</v>
      </c>
      <c r="Q340" s="156">
        <v>0</v>
      </c>
      <c r="R340" s="156">
        <v>0</v>
      </c>
      <c r="S340" s="156">
        <v>0</v>
      </c>
      <c r="T340" s="156">
        <v>0</v>
      </c>
      <c r="U340" s="156">
        <v>0</v>
      </c>
      <c r="V340" s="156">
        <v>0</v>
      </c>
      <c r="W340" s="156">
        <v>0</v>
      </c>
      <c r="X340" s="156">
        <v>0</v>
      </c>
      <c r="Y340" s="156">
        <v>0</v>
      </c>
      <c r="Z340" s="156">
        <v>14.33</v>
      </c>
      <c r="AA340" s="156">
        <v>0</v>
      </c>
      <c r="AB340" s="156">
        <v>0</v>
      </c>
      <c r="AC340" s="156">
        <v>0</v>
      </c>
      <c r="AD340" s="156">
        <v>0</v>
      </c>
      <c r="AE340" s="156">
        <v>0</v>
      </c>
      <c r="AF340" s="156">
        <v>0</v>
      </c>
      <c r="AG340" s="156">
        <v>0</v>
      </c>
      <c r="AH340" s="156">
        <v>0</v>
      </c>
      <c r="AI340" s="156">
        <v>0</v>
      </c>
      <c r="AJ340" s="156">
        <v>0</v>
      </c>
      <c r="AK340" s="156">
        <v>0</v>
      </c>
      <c r="AL340" s="156">
        <v>127.1</v>
      </c>
      <c r="AM340" s="156">
        <v>-95.9</v>
      </c>
      <c r="AN340" s="156">
        <v>0</v>
      </c>
      <c r="AO340" s="156">
        <v>0</v>
      </c>
      <c r="AP340" s="156">
        <v>0</v>
      </c>
      <c r="AQ340" s="156">
        <v>0</v>
      </c>
      <c r="AR340" s="156">
        <v>0</v>
      </c>
      <c r="AS340" s="156">
        <v>0</v>
      </c>
      <c r="AT340" s="156">
        <f>H340+I340+N340+O340+P340+Q340+T340+X340+Y340+Z340+AA340+AB340+AM340+AO340</f>
        <v>2207.5700000000002</v>
      </c>
    </row>
    <row r="341" spans="1:46" ht="11.25" hidden="1" outlineLevel="3">
      <c r="A341" s="155" t="s">
        <v>152</v>
      </c>
      <c r="B341" s="155" t="s">
        <v>157</v>
      </c>
      <c r="C341" s="155" t="s">
        <v>133</v>
      </c>
      <c r="D341" s="156" t="s">
        <v>66</v>
      </c>
      <c r="E341" s="156" t="s">
        <v>150</v>
      </c>
      <c r="F341" s="157">
        <v>0</v>
      </c>
      <c r="G341" s="157">
        <v>8000</v>
      </c>
      <c r="H341" s="156">
        <v>814.76</v>
      </c>
      <c r="I341" s="156">
        <v>50.03</v>
      </c>
      <c r="J341" s="156">
        <v>0</v>
      </c>
      <c r="K341" s="156">
        <v>1.36</v>
      </c>
      <c r="L341" s="156">
        <v>0</v>
      </c>
      <c r="M341" s="156">
        <v>0</v>
      </c>
      <c r="N341" s="156">
        <f>J341+K341+L341+M341</f>
        <v>1.36</v>
      </c>
      <c r="O341" s="156">
        <v>0</v>
      </c>
      <c r="P341" s="156">
        <v>0</v>
      </c>
      <c r="Q341" s="156">
        <v>0</v>
      </c>
      <c r="R341" s="156">
        <v>0</v>
      </c>
      <c r="S341" s="156">
        <v>0</v>
      </c>
      <c r="T341" s="156">
        <v>0</v>
      </c>
      <c r="U341" s="156">
        <v>0</v>
      </c>
      <c r="V341" s="156">
        <v>0</v>
      </c>
      <c r="W341" s="156">
        <v>0</v>
      </c>
      <c r="X341" s="156">
        <v>0</v>
      </c>
      <c r="Y341" s="156">
        <v>0</v>
      </c>
      <c r="Z341" s="156">
        <v>5.68</v>
      </c>
      <c r="AA341" s="156">
        <v>0</v>
      </c>
      <c r="AB341" s="156">
        <v>0</v>
      </c>
      <c r="AC341" s="156">
        <v>0</v>
      </c>
      <c r="AD341" s="156">
        <v>0</v>
      </c>
      <c r="AE341" s="156">
        <v>0</v>
      </c>
      <c r="AF341" s="156">
        <v>0</v>
      </c>
      <c r="AG341" s="156">
        <v>0</v>
      </c>
      <c r="AH341" s="156">
        <v>0</v>
      </c>
      <c r="AI341" s="156">
        <v>0</v>
      </c>
      <c r="AJ341" s="156">
        <v>0</v>
      </c>
      <c r="AK341" s="156">
        <v>0</v>
      </c>
      <c r="AL341" s="156">
        <v>30.18</v>
      </c>
      <c r="AM341" s="156">
        <v>-38</v>
      </c>
      <c r="AN341" s="156">
        <v>0</v>
      </c>
      <c r="AO341" s="156">
        <v>0</v>
      </c>
      <c r="AP341" s="156">
        <v>0</v>
      </c>
      <c r="AQ341" s="156">
        <v>0</v>
      </c>
      <c r="AR341" s="156">
        <v>0</v>
      </c>
      <c r="AS341" s="156">
        <v>0</v>
      </c>
      <c r="AT341" s="156">
        <f>H341+I341+N341+O341+P341+Q341+T341+X341+Y341+Z341+AA341+AB341+AM341+AO341</f>
        <v>833.82999999999993</v>
      </c>
    </row>
    <row r="342" spans="1:46" ht="11.25" outlineLevel="2" collapsed="1">
      <c r="D342" s="156"/>
      <c r="E342" s="156" t="s">
        <v>226</v>
      </c>
      <c r="F342" s="157">
        <v>15</v>
      </c>
      <c r="G342" s="157">
        <f t="shared" ref="G342:AT342" si="55">SUBTOTAL(9,G337:G341)</f>
        <v>42995</v>
      </c>
      <c r="H342" s="156">
        <f t="shared" si="55"/>
        <v>4310.7700000000004</v>
      </c>
      <c r="I342" s="156">
        <f t="shared" si="55"/>
        <v>79.210000000000008</v>
      </c>
      <c r="J342" s="156">
        <f t="shared" si="55"/>
        <v>0</v>
      </c>
      <c r="K342" s="156">
        <f t="shared" si="55"/>
        <v>13.739999999999998</v>
      </c>
      <c r="L342" s="156">
        <f t="shared" si="55"/>
        <v>0</v>
      </c>
      <c r="M342" s="156">
        <f t="shared" si="55"/>
        <v>412</v>
      </c>
      <c r="N342" s="156">
        <f t="shared" si="55"/>
        <v>425.74</v>
      </c>
      <c r="O342" s="156">
        <f t="shared" si="55"/>
        <v>0</v>
      </c>
      <c r="P342" s="156">
        <f t="shared" si="55"/>
        <v>0</v>
      </c>
      <c r="Q342" s="156">
        <f t="shared" si="55"/>
        <v>18.7</v>
      </c>
      <c r="R342" s="156">
        <f t="shared" si="55"/>
        <v>0</v>
      </c>
      <c r="S342" s="156">
        <f t="shared" si="55"/>
        <v>0</v>
      </c>
      <c r="T342" s="156">
        <f t="shared" si="55"/>
        <v>0</v>
      </c>
      <c r="U342" s="156">
        <f t="shared" si="55"/>
        <v>0</v>
      </c>
      <c r="V342" s="156">
        <f t="shared" si="55"/>
        <v>0</v>
      </c>
      <c r="W342" s="156">
        <f t="shared" si="55"/>
        <v>0</v>
      </c>
      <c r="X342" s="156">
        <f t="shared" si="55"/>
        <v>0</v>
      </c>
      <c r="Y342" s="156">
        <f t="shared" si="55"/>
        <v>0</v>
      </c>
      <c r="Z342" s="156">
        <f t="shared" si="55"/>
        <v>20.46</v>
      </c>
      <c r="AA342" s="156">
        <f t="shared" si="55"/>
        <v>0</v>
      </c>
      <c r="AB342" s="156">
        <f t="shared" si="55"/>
        <v>0</v>
      </c>
      <c r="AC342" s="156">
        <f t="shared" si="55"/>
        <v>0</v>
      </c>
      <c r="AD342" s="156">
        <f t="shared" si="55"/>
        <v>0</v>
      </c>
      <c r="AE342" s="156">
        <f t="shared" si="55"/>
        <v>0</v>
      </c>
      <c r="AF342" s="156">
        <f t="shared" si="55"/>
        <v>0</v>
      </c>
      <c r="AG342" s="156">
        <f t="shared" si="55"/>
        <v>0</v>
      </c>
      <c r="AH342" s="156">
        <f t="shared" si="55"/>
        <v>0</v>
      </c>
      <c r="AI342" s="156">
        <f t="shared" si="55"/>
        <v>24.84</v>
      </c>
      <c r="AJ342" s="156">
        <f t="shared" si="55"/>
        <v>0</v>
      </c>
      <c r="AK342" s="156">
        <f t="shared" si="55"/>
        <v>0</v>
      </c>
      <c r="AL342" s="156">
        <f t="shared" si="55"/>
        <v>267.32</v>
      </c>
      <c r="AM342" s="156">
        <f t="shared" si="55"/>
        <v>-136.94</v>
      </c>
      <c r="AN342" s="156">
        <f t="shared" si="55"/>
        <v>0</v>
      </c>
      <c r="AO342" s="156">
        <f t="shared" si="55"/>
        <v>173.11</v>
      </c>
      <c r="AP342" s="156">
        <f t="shared" si="55"/>
        <v>0</v>
      </c>
      <c r="AQ342" s="156">
        <f t="shared" si="55"/>
        <v>0</v>
      </c>
      <c r="AR342" s="156">
        <f t="shared" si="55"/>
        <v>0</v>
      </c>
      <c r="AS342" s="156">
        <f t="shared" si="55"/>
        <v>0</v>
      </c>
      <c r="AT342" s="156">
        <f t="shared" si="55"/>
        <v>4891.05</v>
      </c>
    </row>
    <row r="343" spans="1:46" ht="11.25" hidden="1" outlineLevel="3">
      <c r="A343" s="155" t="s">
        <v>145</v>
      </c>
      <c r="B343" s="155" t="s">
        <v>146</v>
      </c>
      <c r="C343" s="155" t="s">
        <v>133</v>
      </c>
      <c r="D343" s="156" t="s">
        <v>66</v>
      </c>
      <c r="E343" s="156" t="s">
        <v>151</v>
      </c>
      <c r="F343" s="157">
        <v>0</v>
      </c>
      <c r="G343" s="157">
        <v>15600</v>
      </c>
      <c r="H343" s="156">
        <v>1189.3</v>
      </c>
      <c r="I343" s="156">
        <v>0</v>
      </c>
      <c r="J343" s="156">
        <v>0</v>
      </c>
      <c r="K343" s="156">
        <v>0</v>
      </c>
      <c r="L343" s="156">
        <v>0</v>
      </c>
      <c r="M343" s="156">
        <v>455.52</v>
      </c>
      <c r="N343" s="156">
        <f t="shared" ref="N343:N350" si="56">J343+K343+L343+M343</f>
        <v>455.52</v>
      </c>
      <c r="O343" s="156">
        <v>0</v>
      </c>
      <c r="P343" s="156">
        <v>0</v>
      </c>
      <c r="Q343" s="156">
        <v>20.59</v>
      </c>
      <c r="R343" s="156">
        <v>0</v>
      </c>
      <c r="S343" s="156">
        <v>0</v>
      </c>
      <c r="T343" s="156">
        <v>0</v>
      </c>
      <c r="U343" s="156">
        <v>0</v>
      </c>
      <c r="V343" s="156">
        <v>0</v>
      </c>
      <c r="W343" s="156">
        <v>0</v>
      </c>
      <c r="X343" s="156">
        <v>0</v>
      </c>
      <c r="Y343" s="156">
        <v>0</v>
      </c>
      <c r="Z343" s="156">
        <v>0</v>
      </c>
      <c r="AA343" s="156">
        <v>0</v>
      </c>
      <c r="AB343" s="156">
        <v>0</v>
      </c>
      <c r="AC343" s="156">
        <v>0</v>
      </c>
      <c r="AD343" s="156">
        <v>0</v>
      </c>
      <c r="AE343" s="156">
        <v>0</v>
      </c>
      <c r="AF343" s="156">
        <v>0</v>
      </c>
      <c r="AG343" s="156">
        <v>0</v>
      </c>
      <c r="AH343" s="156">
        <v>0</v>
      </c>
      <c r="AI343" s="156">
        <v>19.57</v>
      </c>
      <c r="AJ343" s="156">
        <v>0</v>
      </c>
      <c r="AK343" s="156">
        <v>0</v>
      </c>
      <c r="AL343" s="156">
        <v>17.54</v>
      </c>
      <c r="AM343" s="156">
        <v>0</v>
      </c>
      <c r="AN343" s="156">
        <v>0</v>
      </c>
      <c r="AO343" s="156">
        <v>161.30000000000001</v>
      </c>
      <c r="AP343" s="156">
        <v>0</v>
      </c>
      <c r="AQ343" s="156">
        <v>0</v>
      </c>
      <c r="AR343" s="156">
        <v>0</v>
      </c>
      <c r="AS343" s="156">
        <v>0</v>
      </c>
      <c r="AT343" s="156">
        <f t="shared" ref="AT343:AT350" si="57">H343+I343+N343+O343+P343+Q343+T343+X343+Y343+Z343+AA343+AB343+AM343+AO343</f>
        <v>1826.7099999999998</v>
      </c>
    </row>
    <row r="344" spans="1:46" ht="11.25" hidden="1" outlineLevel="3">
      <c r="A344" s="155" t="s">
        <v>145</v>
      </c>
      <c r="B344" s="155" t="s">
        <v>147</v>
      </c>
      <c r="C344" s="155" t="s">
        <v>133</v>
      </c>
      <c r="D344" s="156" t="s">
        <v>66</v>
      </c>
      <c r="E344" s="156" t="s">
        <v>151</v>
      </c>
      <c r="F344" s="157">
        <v>0</v>
      </c>
      <c r="G344" s="157">
        <v>33280</v>
      </c>
      <c r="H344" s="156">
        <v>2484.4</v>
      </c>
      <c r="I344" s="156">
        <v>0</v>
      </c>
      <c r="J344" s="156">
        <v>0</v>
      </c>
      <c r="K344" s="156">
        <v>0</v>
      </c>
      <c r="L344" s="156">
        <v>0</v>
      </c>
      <c r="M344" s="156">
        <v>966.64</v>
      </c>
      <c r="N344" s="156">
        <f t="shared" si="56"/>
        <v>966.64</v>
      </c>
      <c r="O344" s="156">
        <v>0</v>
      </c>
      <c r="P344" s="156">
        <v>0</v>
      </c>
      <c r="Q344" s="156">
        <v>43.93</v>
      </c>
      <c r="R344" s="156">
        <v>0</v>
      </c>
      <c r="S344" s="156">
        <v>0</v>
      </c>
      <c r="T344" s="156">
        <v>0</v>
      </c>
      <c r="U344" s="156">
        <v>0</v>
      </c>
      <c r="V344" s="156">
        <v>0</v>
      </c>
      <c r="W344" s="156">
        <v>0</v>
      </c>
      <c r="X344" s="156">
        <v>0</v>
      </c>
      <c r="Y344" s="156">
        <v>0</v>
      </c>
      <c r="Z344" s="156">
        <v>0</v>
      </c>
      <c r="AA344" s="156">
        <v>0</v>
      </c>
      <c r="AB344" s="156">
        <v>0</v>
      </c>
      <c r="AC344" s="156">
        <v>0</v>
      </c>
      <c r="AD344" s="156">
        <v>0</v>
      </c>
      <c r="AE344" s="156">
        <v>0</v>
      </c>
      <c r="AF344" s="156">
        <v>0</v>
      </c>
      <c r="AG344" s="156">
        <v>0</v>
      </c>
      <c r="AH344" s="156">
        <v>0</v>
      </c>
      <c r="AI344" s="156">
        <v>0</v>
      </c>
      <c r="AJ344" s="156">
        <v>0</v>
      </c>
      <c r="AK344" s="156">
        <v>0</v>
      </c>
      <c r="AL344" s="156">
        <v>133.9</v>
      </c>
      <c r="AM344" s="156">
        <v>0</v>
      </c>
      <c r="AN344" s="156">
        <v>0</v>
      </c>
      <c r="AO344" s="156">
        <v>344.12</v>
      </c>
      <c r="AP344" s="156">
        <v>0</v>
      </c>
      <c r="AQ344" s="156">
        <v>0</v>
      </c>
      <c r="AR344" s="156">
        <v>0</v>
      </c>
      <c r="AS344" s="156">
        <v>0</v>
      </c>
      <c r="AT344" s="156">
        <f t="shared" si="57"/>
        <v>3839.0899999999997</v>
      </c>
    </row>
    <row r="345" spans="1:46" ht="11.25" hidden="1" outlineLevel="3">
      <c r="A345" s="155" t="s">
        <v>152</v>
      </c>
      <c r="B345" s="155" t="s">
        <v>153</v>
      </c>
      <c r="C345" s="155" t="s">
        <v>133</v>
      </c>
      <c r="D345" s="156" t="s">
        <v>66</v>
      </c>
      <c r="E345" s="156" t="s">
        <v>151</v>
      </c>
      <c r="F345" s="157">
        <v>0</v>
      </c>
      <c r="G345" s="157">
        <v>230637</v>
      </c>
      <c r="H345" s="156">
        <v>29952.99</v>
      </c>
      <c r="I345" s="156">
        <v>0</v>
      </c>
      <c r="J345" s="156">
        <v>0</v>
      </c>
      <c r="K345" s="156">
        <v>809.54</v>
      </c>
      <c r="L345" s="156">
        <v>0</v>
      </c>
      <c r="M345" s="156">
        <v>0</v>
      </c>
      <c r="N345" s="156">
        <f t="shared" si="56"/>
        <v>809.54</v>
      </c>
      <c r="O345" s="156">
        <v>0</v>
      </c>
      <c r="P345" s="156">
        <v>0</v>
      </c>
      <c r="Q345" s="156">
        <v>0</v>
      </c>
      <c r="R345" s="156">
        <v>0</v>
      </c>
      <c r="S345" s="156">
        <v>0</v>
      </c>
      <c r="T345" s="156">
        <v>50</v>
      </c>
      <c r="U345" s="156">
        <v>0</v>
      </c>
      <c r="V345" s="156">
        <v>0</v>
      </c>
      <c r="W345" s="156">
        <v>0</v>
      </c>
      <c r="X345" s="156">
        <v>0</v>
      </c>
      <c r="Y345" s="156">
        <v>0</v>
      </c>
      <c r="Z345" s="156">
        <v>0</v>
      </c>
      <c r="AA345" s="156">
        <v>0</v>
      </c>
      <c r="AB345" s="156">
        <v>0</v>
      </c>
      <c r="AC345" s="156">
        <v>0</v>
      </c>
      <c r="AD345" s="156">
        <v>0</v>
      </c>
      <c r="AE345" s="156">
        <v>0</v>
      </c>
      <c r="AF345" s="156">
        <v>0</v>
      </c>
      <c r="AG345" s="156">
        <v>0</v>
      </c>
      <c r="AH345" s="156">
        <v>0</v>
      </c>
      <c r="AI345" s="156">
        <v>0</v>
      </c>
      <c r="AJ345" s="156">
        <v>0</v>
      </c>
      <c r="AK345" s="156">
        <v>0</v>
      </c>
      <c r="AL345" s="156">
        <v>1893.66</v>
      </c>
      <c r="AM345" s="156">
        <v>-941</v>
      </c>
      <c r="AN345" s="156">
        <v>0</v>
      </c>
      <c r="AO345" s="156">
        <v>0</v>
      </c>
      <c r="AP345" s="156">
        <v>0</v>
      </c>
      <c r="AQ345" s="156">
        <v>0</v>
      </c>
      <c r="AR345" s="156">
        <v>0</v>
      </c>
      <c r="AS345" s="156">
        <v>0</v>
      </c>
      <c r="AT345" s="156">
        <f t="shared" si="57"/>
        <v>29871.530000000002</v>
      </c>
    </row>
    <row r="346" spans="1:46" ht="11.25" hidden="1" outlineLevel="3">
      <c r="A346" s="155" t="s">
        <v>152</v>
      </c>
      <c r="B346" s="155" t="s">
        <v>155</v>
      </c>
      <c r="C346" s="155" t="s">
        <v>133</v>
      </c>
      <c r="D346" s="156" t="s">
        <v>66</v>
      </c>
      <c r="E346" s="156" t="s">
        <v>151</v>
      </c>
      <c r="F346" s="157">
        <v>0</v>
      </c>
      <c r="G346" s="157">
        <v>36560</v>
      </c>
      <c r="H346" s="156">
        <v>3598.08</v>
      </c>
      <c r="I346" s="156">
        <v>0</v>
      </c>
      <c r="J346" s="156">
        <v>0</v>
      </c>
      <c r="K346" s="156">
        <v>16.02</v>
      </c>
      <c r="L346" s="156">
        <v>0</v>
      </c>
      <c r="M346" s="156">
        <v>0</v>
      </c>
      <c r="N346" s="156">
        <f t="shared" si="56"/>
        <v>16.02</v>
      </c>
      <c r="O346" s="156">
        <v>0</v>
      </c>
      <c r="P346" s="156">
        <v>0</v>
      </c>
      <c r="Q346" s="156">
        <v>0</v>
      </c>
      <c r="R346" s="156">
        <v>0</v>
      </c>
      <c r="S346" s="156">
        <v>0</v>
      </c>
      <c r="T346" s="156">
        <v>0</v>
      </c>
      <c r="U346" s="156">
        <v>0</v>
      </c>
      <c r="V346" s="156">
        <v>0</v>
      </c>
      <c r="W346" s="156">
        <v>0</v>
      </c>
      <c r="X346" s="156">
        <v>0</v>
      </c>
      <c r="Y346" s="156">
        <v>0</v>
      </c>
      <c r="Z346" s="156">
        <v>25.96</v>
      </c>
      <c r="AA346" s="156">
        <v>0</v>
      </c>
      <c r="AB346" s="156">
        <v>0</v>
      </c>
      <c r="AC346" s="156">
        <v>0</v>
      </c>
      <c r="AD346" s="156">
        <v>0</v>
      </c>
      <c r="AE346" s="156">
        <v>0</v>
      </c>
      <c r="AF346" s="156">
        <v>0</v>
      </c>
      <c r="AG346" s="156">
        <v>0</v>
      </c>
      <c r="AH346" s="156">
        <v>0</v>
      </c>
      <c r="AI346" s="156">
        <v>0</v>
      </c>
      <c r="AJ346" s="156">
        <v>0</v>
      </c>
      <c r="AK346" s="156">
        <v>0</v>
      </c>
      <c r="AL346" s="156">
        <v>106.48</v>
      </c>
      <c r="AM346" s="156">
        <v>-149.16999999999999</v>
      </c>
      <c r="AN346" s="156">
        <v>0</v>
      </c>
      <c r="AO346" s="156">
        <v>0</v>
      </c>
      <c r="AP346" s="156">
        <v>0</v>
      </c>
      <c r="AQ346" s="156">
        <v>0</v>
      </c>
      <c r="AR346" s="156">
        <v>0</v>
      </c>
      <c r="AS346" s="156">
        <v>0</v>
      </c>
      <c r="AT346" s="156">
        <f t="shared" si="57"/>
        <v>3490.89</v>
      </c>
    </row>
    <row r="347" spans="1:46" ht="11.25" hidden="1" outlineLevel="3">
      <c r="A347" s="155" t="s">
        <v>152</v>
      </c>
      <c r="B347" s="155" t="s">
        <v>157</v>
      </c>
      <c r="C347" s="155" t="s">
        <v>133</v>
      </c>
      <c r="D347" s="156" t="s">
        <v>66</v>
      </c>
      <c r="E347" s="156" t="s">
        <v>151</v>
      </c>
      <c r="F347" s="157">
        <v>0</v>
      </c>
      <c r="G347" s="157">
        <v>406840</v>
      </c>
      <c r="H347" s="156">
        <v>38749.379999999997</v>
      </c>
      <c r="I347" s="156">
        <v>920.88</v>
      </c>
      <c r="J347" s="156">
        <v>0</v>
      </c>
      <c r="K347" s="156">
        <v>738.46</v>
      </c>
      <c r="L347" s="156">
        <v>0</v>
      </c>
      <c r="M347" s="156">
        <v>0</v>
      </c>
      <c r="N347" s="156">
        <f t="shared" si="56"/>
        <v>738.46</v>
      </c>
      <c r="O347" s="156">
        <v>0</v>
      </c>
      <c r="P347" s="156">
        <v>0</v>
      </c>
      <c r="Q347" s="156">
        <v>0</v>
      </c>
      <c r="R347" s="156">
        <v>0</v>
      </c>
      <c r="S347" s="156">
        <v>0</v>
      </c>
      <c r="T347" s="156">
        <v>675.59</v>
      </c>
      <c r="U347" s="156">
        <v>0</v>
      </c>
      <c r="V347" s="156">
        <v>0</v>
      </c>
      <c r="W347" s="156">
        <v>0</v>
      </c>
      <c r="X347" s="156">
        <v>0</v>
      </c>
      <c r="Y347" s="156">
        <v>0</v>
      </c>
      <c r="Z347" s="156">
        <v>288.85000000000002</v>
      </c>
      <c r="AA347" s="156">
        <v>0</v>
      </c>
      <c r="AB347" s="156">
        <v>0</v>
      </c>
      <c r="AC347" s="156">
        <v>0</v>
      </c>
      <c r="AD347" s="156">
        <v>0</v>
      </c>
      <c r="AE347" s="156">
        <v>0</v>
      </c>
      <c r="AF347" s="156">
        <v>0</v>
      </c>
      <c r="AG347" s="156">
        <v>0</v>
      </c>
      <c r="AH347" s="156">
        <v>0</v>
      </c>
      <c r="AI347" s="156">
        <v>181.39</v>
      </c>
      <c r="AJ347" s="156">
        <v>0</v>
      </c>
      <c r="AK347" s="156">
        <v>0</v>
      </c>
      <c r="AL347" s="156">
        <v>781.65</v>
      </c>
      <c r="AM347" s="156">
        <v>-1659.9</v>
      </c>
      <c r="AN347" s="156">
        <v>0</v>
      </c>
      <c r="AO347" s="156">
        <v>0</v>
      </c>
      <c r="AP347" s="156">
        <v>0</v>
      </c>
      <c r="AQ347" s="156">
        <v>0</v>
      </c>
      <c r="AR347" s="156">
        <v>0</v>
      </c>
      <c r="AS347" s="156">
        <v>0</v>
      </c>
      <c r="AT347" s="156">
        <f t="shared" si="57"/>
        <v>39713.259999999987</v>
      </c>
    </row>
    <row r="348" spans="1:46" ht="11.25" hidden="1" outlineLevel="3">
      <c r="A348" s="155" t="s">
        <v>152</v>
      </c>
      <c r="B348" s="155" t="s">
        <v>137</v>
      </c>
      <c r="C348" s="155" t="s">
        <v>133</v>
      </c>
      <c r="D348" s="156" t="s">
        <v>66</v>
      </c>
      <c r="E348" s="156" t="s">
        <v>151</v>
      </c>
      <c r="F348" s="157">
        <v>0</v>
      </c>
      <c r="G348" s="157">
        <v>18720</v>
      </c>
      <c r="H348" s="156">
        <v>2111.92</v>
      </c>
      <c r="I348" s="156">
        <v>0</v>
      </c>
      <c r="J348" s="156">
        <v>0</v>
      </c>
      <c r="K348" s="156">
        <v>56.33</v>
      </c>
      <c r="L348" s="156">
        <v>0</v>
      </c>
      <c r="M348" s="156">
        <v>0</v>
      </c>
      <c r="N348" s="156">
        <f t="shared" si="56"/>
        <v>56.33</v>
      </c>
      <c r="O348" s="156">
        <v>0</v>
      </c>
      <c r="P348" s="156">
        <v>0</v>
      </c>
      <c r="Q348" s="156">
        <v>0</v>
      </c>
      <c r="R348" s="156">
        <v>0</v>
      </c>
      <c r="S348" s="156">
        <v>0</v>
      </c>
      <c r="T348" s="156">
        <v>0</v>
      </c>
      <c r="U348" s="156">
        <v>0</v>
      </c>
      <c r="V348" s="156">
        <v>0</v>
      </c>
      <c r="W348" s="156">
        <v>0</v>
      </c>
      <c r="X348" s="156">
        <v>0</v>
      </c>
      <c r="Y348" s="156">
        <v>0</v>
      </c>
      <c r="Z348" s="156">
        <v>13.29</v>
      </c>
      <c r="AA348" s="156">
        <v>0</v>
      </c>
      <c r="AB348" s="156">
        <v>0</v>
      </c>
      <c r="AC348" s="156">
        <v>0</v>
      </c>
      <c r="AD348" s="156">
        <v>0</v>
      </c>
      <c r="AE348" s="156">
        <v>0</v>
      </c>
      <c r="AF348" s="156">
        <v>0</v>
      </c>
      <c r="AG348" s="156">
        <v>0</v>
      </c>
      <c r="AH348" s="156">
        <v>0</v>
      </c>
      <c r="AI348" s="156">
        <v>0</v>
      </c>
      <c r="AJ348" s="156">
        <v>0</v>
      </c>
      <c r="AK348" s="156">
        <v>0</v>
      </c>
      <c r="AL348" s="156">
        <v>112.62</v>
      </c>
      <c r="AM348" s="156">
        <v>-76.38</v>
      </c>
      <c r="AN348" s="156">
        <v>0</v>
      </c>
      <c r="AO348" s="156">
        <v>0</v>
      </c>
      <c r="AP348" s="156">
        <v>0</v>
      </c>
      <c r="AQ348" s="156">
        <v>0</v>
      </c>
      <c r="AR348" s="156">
        <v>0</v>
      </c>
      <c r="AS348" s="156">
        <v>0</v>
      </c>
      <c r="AT348" s="156">
        <f t="shared" si="57"/>
        <v>2105.16</v>
      </c>
    </row>
    <row r="349" spans="1:46" ht="11.25" hidden="1" outlineLevel="3">
      <c r="A349" s="155" t="s">
        <v>152</v>
      </c>
      <c r="B349" s="155" t="s">
        <v>158</v>
      </c>
      <c r="C349" s="155" t="s">
        <v>133</v>
      </c>
      <c r="D349" s="156" t="s">
        <v>66</v>
      </c>
      <c r="E349" s="156" t="s">
        <v>151</v>
      </c>
      <c r="F349" s="157">
        <v>0</v>
      </c>
      <c r="G349" s="157">
        <v>252025</v>
      </c>
      <c r="H349" s="156">
        <v>31364.3</v>
      </c>
      <c r="I349" s="156">
        <v>1543.57</v>
      </c>
      <c r="J349" s="156">
        <v>0</v>
      </c>
      <c r="K349" s="156">
        <v>879.47</v>
      </c>
      <c r="L349" s="156">
        <v>0</v>
      </c>
      <c r="M349" s="156">
        <v>0</v>
      </c>
      <c r="N349" s="156">
        <f t="shared" si="56"/>
        <v>879.47</v>
      </c>
      <c r="O349" s="156">
        <v>0</v>
      </c>
      <c r="P349" s="156">
        <v>0</v>
      </c>
      <c r="Q349" s="156">
        <v>0</v>
      </c>
      <c r="R349" s="156">
        <v>0</v>
      </c>
      <c r="S349" s="156">
        <v>0</v>
      </c>
      <c r="T349" s="156">
        <v>3412.5</v>
      </c>
      <c r="U349" s="156">
        <v>0</v>
      </c>
      <c r="V349" s="156">
        <v>0</v>
      </c>
      <c r="W349" s="156">
        <v>0</v>
      </c>
      <c r="X349" s="156">
        <v>0</v>
      </c>
      <c r="Y349" s="156">
        <v>0</v>
      </c>
      <c r="Z349" s="156">
        <v>178.94</v>
      </c>
      <c r="AA349" s="156">
        <v>0</v>
      </c>
      <c r="AB349" s="156">
        <v>0</v>
      </c>
      <c r="AC349" s="156">
        <v>0</v>
      </c>
      <c r="AD349" s="156">
        <v>0</v>
      </c>
      <c r="AE349" s="156">
        <v>0</v>
      </c>
      <c r="AF349" s="156">
        <v>0</v>
      </c>
      <c r="AG349" s="156">
        <v>0</v>
      </c>
      <c r="AH349" s="156">
        <v>0</v>
      </c>
      <c r="AI349" s="156">
        <v>26.61</v>
      </c>
      <c r="AJ349" s="156">
        <v>0</v>
      </c>
      <c r="AK349" s="156">
        <v>0</v>
      </c>
      <c r="AL349" s="156">
        <v>1179.24</v>
      </c>
      <c r="AM349" s="156">
        <v>-1028.26</v>
      </c>
      <c r="AN349" s="156">
        <v>0</v>
      </c>
      <c r="AO349" s="156">
        <v>0</v>
      </c>
      <c r="AP349" s="156">
        <v>0</v>
      </c>
      <c r="AQ349" s="156">
        <v>0</v>
      </c>
      <c r="AR349" s="156">
        <v>0</v>
      </c>
      <c r="AS349" s="156">
        <v>0</v>
      </c>
      <c r="AT349" s="156">
        <f t="shared" si="57"/>
        <v>36350.520000000004</v>
      </c>
    </row>
    <row r="350" spans="1:46" ht="11.25" hidden="1" outlineLevel="3">
      <c r="A350" s="155" t="s">
        <v>152</v>
      </c>
      <c r="B350" s="155" t="s">
        <v>160</v>
      </c>
      <c r="C350" s="155" t="s">
        <v>133</v>
      </c>
      <c r="D350" s="156" t="s">
        <v>66</v>
      </c>
      <c r="E350" s="156" t="s">
        <v>151</v>
      </c>
      <c r="F350" s="157">
        <v>0</v>
      </c>
      <c r="G350" s="157">
        <v>607200</v>
      </c>
      <c r="H350" s="156">
        <v>49338.05</v>
      </c>
      <c r="I350" s="156">
        <v>0</v>
      </c>
      <c r="J350" s="156">
        <v>0</v>
      </c>
      <c r="K350" s="156">
        <v>135.07</v>
      </c>
      <c r="L350" s="156">
        <v>0</v>
      </c>
      <c r="M350" s="156">
        <v>0</v>
      </c>
      <c r="N350" s="156">
        <f t="shared" si="56"/>
        <v>135.07</v>
      </c>
      <c r="O350" s="156">
        <v>0</v>
      </c>
      <c r="P350" s="156">
        <v>0</v>
      </c>
      <c r="Q350" s="156">
        <v>0</v>
      </c>
      <c r="R350" s="156">
        <v>0</v>
      </c>
      <c r="S350" s="156">
        <v>0</v>
      </c>
      <c r="T350" s="156">
        <v>0</v>
      </c>
      <c r="U350" s="156">
        <v>0</v>
      </c>
      <c r="V350" s="156">
        <v>0</v>
      </c>
      <c r="W350" s="156">
        <v>0</v>
      </c>
      <c r="X350" s="156">
        <v>0</v>
      </c>
      <c r="Y350" s="156">
        <v>0</v>
      </c>
      <c r="Z350" s="156">
        <v>431.11</v>
      </c>
      <c r="AA350" s="156">
        <v>0</v>
      </c>
      <c r="AB350" s="156">
        <v>0</v>
      </c>
      <c r="AC350" s="156">
        <v>0</v>
      </c>
      <c r="AD350" s="156">
        <v>0</v>
      </c>
      <c r="AE350" s="156">
        <v>0</v>
      </c>
      <c r="AF350" s="156">
        <v>0</v>
      </c>
      <c r="AG350" s="156">
        <v>0</v>
      </c>
      <c r="AH350" s="156">
        <v>0</v>
      </c>
      <c r="AI350" s="156">
        <v>0</v>
      </c>
      <c r="AJ350" s="156">
        <v>0</v>
      </c>
      <c r="AK350" s="156">
        <v>0</v>
      </c>
      <c r="AL350" s="156">
        <v>3770.46</v>
      </c>
      <c r="AM350" s="156">
        <v>-2477.37</v>
      </c>
      <c r="AN350" s="156">
        <v>0</v>
      </c>
      <c r="AO350" s="156">
        <v>0</v>
      </c>
      <c r="AP350" s="156">
        <v>0</v>
      </c>
      <c r="AQ350" s="156">
        <v>0</v>
      </c>
      <c r="AR350" s="156">
        <v>0</v>
      </c>
      <c r="AS350" s="156">
        <v>0</v>
      </c>
      <c r="AT350" s="156">
        <f t="shared" si="57"/>
        <v>47426.86</v>
      </c>
    </row>
    <row r="351" spans="1:46" ht="11.25" outlineLevel="2" collapsed="1">
      <c r="D351" s="156"/>
      <c r="E351" s="156" t="s">
        <v>227</v>
      </c>
      <c r="F351" s="157">
        <v>18</v>
      </c>
      <c r="G351" s="157">
        <f t="shared" ref="G351:AT351" si="58">SUBTOTAL(9,G343:G350)</f>
        <v>1600862</v>
      </c>
      <c r="H351" s="156">
        <f t="shared" si="58"/>
        <v>158788.41999999998</v>
      </c>
      <c r="I351" s="156">
        <f t="shared" si="58"/>
        <v>2464.4499999999998</v>
      </c>
      <c r="J351" s="156">
        <f t="shared" si="58"/>
        <v>0</v>
      </c>
      <c r="K351" s="156">
        <f t="shared" si="58"/>
        <v>2634.89</v>
      </c>
      <c r="L351" s="156">
        <f t="shared" si="58"/>
        <v>0</v>
      </c>
      <c r="M351" s="156">
        <f t="shared" si="58"/>
        <v>1422.1599999999999</v>
      </c>
      <c r="N351" s="156">
        <f t="shared" si="58"/>
        <v>4057.0499999999997</v>
      </c>
      <c r="O351" s="156">
        <f t="shared" si="58"/>
        <v>0</v>
      </c>
      <c r="P351" s="156">
        <f t="shared" si="58"/>
        <v>0</v>
      </c>
      <c r="Q351" s="156">
        <f t="shared" si="58"/>
        <v>64.52</v>
      </c>
      <c r="R351" s="156">
        <f t="shared" si="58"/>
        <v>0</v>
      </c>
      <c r="S351" s="156">
        <f t="shared" si="58"/>
        <v>0</v>
      </c>
      <c r="T351" s="156">
        <f t="shared" si="58"/>
        <v>4138.09</v>
      </c>
      <c r="U351" s="156">
        <f t="shared" si="58"/>
        <v>0</v>
      </c>
      <c r="V351" s="156">
        <f t="shared" si="58"/>
        <v>0</v>
      </c>
      <c r="W351" s="156">
        <f t="shared" si="58"/>
        <v>0</v>
      </c>
      <c r="X351" s="156">
        <f t="shared" si="58"/>
        <v>0</v>
      </c>
      <c r="Y351" s="156">
        <f t="shared" si="58"/>
        <v>0</v>
      </c>
      <c r="Z351" s="156">
        <f t="shared" si="58"/>
        <v>938.15000000000009</v>
      </c>
      <c r="AA351" s="156">
        <f t="shared" si="58"/>
        <v>0</v>
      </c>
      <c r="AB351" s="156">
        <f t="shared" si="58"/>
        <v>0</v>
      </c>
      <c r="AC351" s="156">
        <f t="shared" si="58"/>
        <v>0</v>
      </c>
      <c r="AD351" s="156">
        <f t="shared" si="58"/>
        <v>0</v>
      </c>
      <c r="AE351" s="156">
        <f t="shared" si="58"/>
        <v>0</v>
      </c>
      <c r="AF351" s="156">
        <f t="shared" si="58"/>
        <v>0</v>
      </c>
      <c r="AG351" s="156">
        <f t="shared" si="58"/>
        <v>0</v>
      </c>
      <c r="AH351" s="156">
        <f t="shared" si="58"/>
        <v>0</v>
      </c>
      <c r="AI351" s="156">
        <f t="shared" si="58"/>
        <v>227.57</v>
      </c>
      <c r="AJ351" s="156">
        <f t="shared" si="58"/>
        <v>0</v>
      </c>
      <c r="AK351" s="156">
        <f t="shared" si="58"/>
        <v>0</v>
      </c>
      <c r="AL351" s="156">
        <f t="shared" si="58"/>
        <v>7995.55</v>
      </c>
      <c r="AM351" s="156">
        <f t="shared" si="58"/>
        <v>-6332.08</v>
      </c>
      <c r="AN351" s="156">
        <f t="shared" si="58"/>
        <v>0</v>
      </c>
      <c r="AO351" s="156">
        <f t="shared" si="58"/>
        <v>505.42</v>
      </c>
      <c r="AP351" s="156">
        <f t="shared" si="58"/>
        <v>0</v>
      </c>
      <c r="AQ351" s="156">
        <f t="shared" si="58"/>
        <v>0</v>
      </c>
      <c r="AR351" s="156">
        <f t="shared" si="58"/>
        <v>0</v>
      </c>
      <c r="AS351" s="156">
        <f t="shared" si="58"/>
        <v>0</v>
      </c>
      <c r="AT351" s="156">
        <f t="shared" si="58"/>
        <v>164624.01999999999</v>
      </c>
    </row>
    <row r="352" spans="1:46" ht="11.25" outlineLevel="1">
      <c r="D352" s="159" t="s">
        <v>234</v>
      </c>
      <c r="E352" s="159"/>
      <c r="F352" s="160">
        <f>F285+F297+F303+F308+F312+F314+F318+F329+F334+F336+F342+F351</f>
        <v>348</v>
      </c>
      <c r="G352" s="160">
        <f t="shared" ref="G352:AT352" si="59">SUBTOTAL(9,G273:G350)</f>
        <v>89077044</v>
      </c>
      <c r="H352" s="159">
        <f t="shared" si="59"/>
        <v>6397214.8300000029</v>
      </c>
      <c r="I352" s="159">
        <f t="shared" si="59"/>
        <v>15651.480000000001</v>
      </c>
      <c r="J352" s="159">
        <f t="shared" si="59"/>
        <v>119702.73999999999</v>
      </c>
      <c r="K352" s="159">
        <f t="shared" si="59"/>
        <v>238269.41999999998</v>
      </c>
      <c r="L352" s="159">
        <f t="shared" si="59"/>
        <v>169606.58</v>
      </c>
      <c r="M352" s="159">
        <f t="shared" si="59"/>
        <v>155856.49</v>
      </c>
      <c r="N352" s="159">
        <f t="shared" si="59"/>
        <v>683435.22999999975</v>
      </c>
      <c r="O352" s="159">
        <f t="shared" si="59"/>
        <v>15042.32</v>
      </c>
      <c r="P352" s="159">
        <f t="shared" si="59"/>
        <v>22952.89</v>
      </c>
      <c r="Q352" s="159">
        <f t="shared" si="59"/>
        <v>6658.6</v>
      </c>
      <c r="R352" s="159">
        <f t="shared" si="59"/>
        <v>0</v>
      </c>
      <c r="S352" s="159">
        <f t="shared" si="59"/>
        <v>0</v>
      </c>
      <c r="T352" s="159">
        <f t="shared" si="59"/>
        <v>106995.85</v>
      </c>
      <c r="U352" s="159">
        <f t="shared" si="59"/>
        <v>0</v>
      </c>
      <c r="V352" s="159">
        <f t="shared" si="59"/>
        <v>0</v>
      </c>
      <c r="W352" s="159">
        <f t="shared" si="59"/>
        <v>0</v>
      </c>
      <c r="X352" s="159">
        <f t="shared" si="59"/>
        <v>743.04</v>
      </c>
      <c r="Y352" s="159">
        <f t="shared" si="59"/>
        <v>4214.71</v>
      </c>
      <c r="Z352" s="159">
        <f t="shared" si="59"/>
        <v>16848.93</v>
      </c>
      <c r="AA352" s="159">
        <f t="shared" si="59"/>
        <v>14720.7</v>
      </c>
      <c r="AB352" s="159">
        <f t="shared" si="59"/>
        <v>0</v>
      </c>
      <c r="AC352" s="159">
        <f t="shared" si="59"/>
        <v>0</v>
      </c>
      <c r="AD352" s="159">
        <f t="shared" si="59"/>
        <v>-1012</v>
      </c>
      <c r="AE352" s="159">
        <f t="shared" si="59"/>
        <v>0</v>
      </c>
      <c r="AF352" s="159">
        <f t="shared" si="59"/>
        <v>0</v>
      </c>
      <c r="AG352" s="159">
        <f t="shared" si="59"/>
        <v>0</v>
      </c>
      <c r="AH352" s="159">
        <f t="shared" si="59"/>
        <v>0</v>
      </c>
      <c r="AI352" s="159">
        <f t="shared" si="59"/>
        <v>23005.47</v>
      </c>
      <c r="AJ352" s="159">
        <f t="shared" si="59"/>
        <v>0</v>
      </c>
      <c r="AK352" s="159">
        <f t="shared" si="59"/>
        <v>0</v>
      </c>
      <c r="AL352" s="159">
        <f t="shared" si="59"/>
        <v>246217.9499999999</v>
      </c>
      <c r="AM352" s="159">
        <f t="shared" si="59"/>
        <v>-312563.93999999994</v>
      </c>
      <c r="AN352" s="159">
        <f t="shared" si="59"/>
        <v>0</v>
      </c>
      <c r="AO352" s="159">
        <f t="shared" si="59"/>
        <v>41747.210000000006</v>
      </c>
      <c r="AP352" s="159">
        <f t="shared" si="59"/>
        <v>0</v>
      </c>
      <c r="AQ352" s="159">
        <f t="shared" si="59"/>
        <v>0</v>
      </c>
      <c r="AR352" s="159">
        <f t="shared" si="59"/>
        <v>0</v>
      </c>
      <c r="AS352" s="159">
        <f t="shared" si="59"/>
        <v>0</v>
      </c>
      <c r="AT352" s="159">
        <f t="shared" si="59"/>
        <v>7013661.8499999996</v>
      </c>
    </row>
    <row r="353" spans="1:46" ht="11.25" hidden="1" outlineLevel="3">
      <c r="A353" s="155" t="s">
        <v>152</v>
      </c>
      <c r="D353" s="156" t="s">
        <v>187</v>
      </c>
      <c r="E353" s="156" t="s">
        <v>139</v>
      </c>
      <c r="F353" s="157">
        <v>0</v>
      </c>
      <c r="G353" s="157">
        <v>-89914</v>
      </c>
      <c r="H353" s="156">
        <v>-10644.02</v>
      </c>
      <c r="I353" s="156">
        <v>0</v>
      </c>
      <c r="J353" s="156">
        <v>0</v>
      </c>
      <c r="K353" s="156">
        <v>68.61</v>
      </c>
      <c r="L353" s="156">
        <v>0</v>
      </c>
      <c r="M353" s="156">
        <v>0</v>
      </c>
      <c r="N353" s="156">
        <f t="shared" ref="N353:N365" si="60">J353+K353+L353+M353</f>
        <v>68.61</v>
      </c>
      <c r="O353" s="156">
        <v>0</v>
      </c>
      <c r="P353" s="156">
        <v>0</v>
      </c>
      <c r="Q353" s="156">
        <v>0</v>
      </c>
      <c r="R353" s="156">
        <v>0</v>
      </c>
      <c r="S353" s="156">
        <v>0</v>
      </c>
      <c r="T353" s="156">
        <v>0</v>
      </c>
      <c r="U353" s="156">
        <v>0</v>
      </c>
      <c r="V353" s="156">
        <v>0</v>
      </c>
      <c r="W353" s="156">
        <v>0</v>
      </c>
      <c r="X353" s="156">
        <v>0</v>
      </c>
      <c r="Y353" s="156">
        <v>0</v>
      </c>
      <c r="Z353" s="156">
        <v>-63.84</v>
      </c>
      <c r="AA353" s="156">
        <v>0</v>
      </c>
      <c r="AB353" s="156">
        <v>0</v>
      </c>
      <c r="AC353" s="156">
        <v>0</v>
      </c>
      <c r="AD353" s="156">
        <v>0</v>
      </c>
      <c r="AE353" s="156">
        <v>0</v>
      </c>
      <c r="AF353" s="156">
        <v>0</v>
      </c>
      <c r="AG353" s="156">
        <v>0</v>
      </c>
      <c r="AH353" s="156">
        <v>0</v>
      </c>
      <c r="AI353" s="156">
        <v>0</v>
      </c>
      <c r="AJ353" s="156">
        <v>0</v>
      </c>
      <c r="AK353" s="156">
        <v>0</v>
      </c>
      <c r="AL353" s="156">
        <v>0</v>
      </c>
      <c r="AM353" s="156">
        <v>451.37</v>
      </c>
      <c r="AN353" s="156">
        <v>0</v>
      </c>
      <c r="AO353" s="156">
        <v>0</v>
      </c>
      <c r="AP353" s="156">
        <v>0</v>
      </c>
      <c r="AQ353" s="156">
        <v>0</v>
      </c>
      <c r="AR353" s="156">
        <v>0</v>
      </c>
      <c r="AS353" s="156">
        <v>0</v>
      </c>
      <c r="AT353" s="156">
        <f t="shared" ref="AT353:AT365" si="61">H353+I353+N353+O353+P353+Q353+T353+X353+Y353+Z353+AA353+AB353+AM353+AO353</f>
        <v>-10187.879999999999</v>
      </c>
    </row>
    <row r="354" spans="1:46" ht="11.25" hidden="1" outlineLevel="3">
      <c r="A354" s="155" t="s">
        <v>131</v>
      </c>
      <c r="B354" s="155" t="s">
        <v>132</v>
      </c>
      <c r="C354" s="155" t="s">
        <v>133</v>
      </c>
      <c r="D354" s="156" t="s">
        <v>187</v>
      </c>
      <c r="E354" s="156" t="s">
        <v>139</v>
      </c>
      <c r="F354" s="157">
        <v>0</v>
      </c>
      <c r="G354" s="157">
        <v>5294</v>
      </c>
      <c r="H354" s="156">
        <v>746.38</v>
      </c>
      <c r="I354" s="156">
        <v>0</v>
      </c>
      <c r="J354" s="156">
        <v>0</v>
      </c>
      <c r="K354" s="156">
        <v>0</v>
      </c>
      <c r="L354" s="156">
        <v>154.41</v>
      </c>
      <c r="M354" s="156">
        <v>0</v>
      </c>
      <c r="N354" s="156">
        <f t="shared" si="60"/>
        <v>154.41</v>
      </c>
      <c r="O354" s="156">
        <v>19.920000000000002</v>
      </c>
      <c r="P354" s="156">
        <v>25.82</v>
      </c>
      <c r="Q354" s="156">
        <v>0</v>
      </c>
      <c r="R354" s="156">
        <v>0</v>
      </c>
      <c r="S354" s="156">
        <v>0</v>
      </c>
      <c r="T354" s="156">
        <v>0</v>
      </c>
      <c r="U354" s="156">
        <v>0</v>
      </c>
      <c r="V354" s="156">
        <v>0</v>
      </c>
      <c r="W354" s="156">
        <v>0</v>
      </c>
      <c r="X354" s="156">
        <v>0</v>
      </c>
      <c r="Y354" s="156">
        <v>10.58</v>
      </c>
      <c r="Z354" s="156">
        <v>0</v>
      </c>
      <c r="AA354" s="156">
        <v>17.28</v>
      </c>
      <c r="AB354" s="156">
        <v>0</v>
      </c>
      <c r="AC354" s="156">
        <v>0</v>
      </c>
      <c r="AD354" s="156">
        <v>0</v>
      </c>
      <c r="AE354" s="156">
        <v>0</v>
      </c>
      <c r="AF354" s="156">
        <v>0</v>
      </c>
      <c r="AG354" s="156">
        <v>0</v>
      </c>
      <c r="AH354" s="156">
        <v>0</v>
      </c>
      <c r="AI354" s="156">
        <v>0</v>
      </c>
      <c r="AJ354" s="156">
        <v>0</v>
      </c>
      <c r="AK354" s="156">
        <v>0</v>
      </c>
      <c r="AL354" s="156">
        <v>75.239999999999995</v>
      </c>
      <c r="AM354" s="156">
        <v>-161.19999999999999</v>
      </c>
      <c r="AN354" s="156">
        <v>0</v>
      </c>
      <c r="AO354" s="156">
        <v>0</v>
      </c>
      <c r="AP354" s="156">
        <v>0</v>
      </c>
      <c r="AQ354" s="156">
        <v>0</v>
      </c>
      <c r="AR354" s="156">
        <v>0</v>
      </c>
      <c r="AS354" s="156">
        <v>0</v>
      </c>
      <c r="AT354" s="156">
        <f t="shared" si="61"/>
        <v>813.19</v>
      </c>
    </row>
    <row r="355" spans="1:46" ht="11.25" hidden="1" outlineLevel="3">
      <c r="A355" s="155" t="s">
        <v>145</v>
      </c>
      <c r="B355" s="155" t="s">
        <v>146</v>
      </c>
      <c r="C355" s="155" t="s">
        <v>133</v>
      </c>
      <c r="D355" s="156" t="s">
        <v>187</v>
      </c>
      <c r="E355" s="156" t="s">
        <v>139</v>
      </c>
      <c r="F355" s="157">
        <v>0</v>
      </c>
      <c r="G355" s="157">
        <v>14646</v>
      </c>
      <c r="H355" s="156">
        <v>1798.06</v>
      </c>
      <c r="I355" s="156">
        <v>0</v>
      </c>
      <c r="J355" s="156">
        <v>0</v>
      </c>
      <c r="K355" s="156">
        <v>0</v>
      </c>
      <c r="L355" s="156">
        <v>0</v>
      </c>
      <c r="M355" s="156">
        <v>427.66</v>
      </c>
      <c r="N355" s="156">
        <f t="shared" si="60"/>
        <v>427.66</v>
      </c>
      <c r="O355" s="156">
        <v>0</v>
      </c>
      <c r="P355" s="156">
        <v>0</v>
      </c>
      <c r="Q355" s="156">
        <v>19.329999999999998</v>
      </c>
      <c r="R355" s="156">
        <v>0</v>
      </c>
      <c r="S355" s="156">
        <v>0</v>
      </c>
      <c r="T355" s="156">
        <v>0</v>
      </c>
      <c r="U355" s="156">
        <v>0</v>
      </c>
      <c r="V355" s="156">
        <v>0</v>
      </c>
      <c r="W355" s="156">
        <v>0</v>
      </c>
      <c r="X355" s="156">
        <v>0</v>
      </c>
      <c r="Y355" s="156">
        <v>0</v>
      </c>
      <c r="Z355" s="156">
        <v>0</v>
      </c>
      <c r="AA355" s="156">
        <v>0</v>
      </c>
      <c r="AB355" s="156">
        <v>0</v>
      </c>
      <c r="AC355" s="156">
        <v>0</v>
      </c>
      <c r="AD355" s="156">
        <v>0</v>
      </c>
      <c r="AE355" s="156">
        <v>0</v>
      </c>
      <c r="AF355" s="156">
        <v>0</v>
      </c>
      <c r="AG355" s="156">
        <v>0</v>
      </c>
      <c r="AH355" s="156">
        <v>0</v>
      </c>
      <c r="AI355" s="156">
        <v>0</v>
      </c>
      <c r="AJ355" s="156">
        <v>0</v>
      </c>
      <c r="AK355" s="156">
        <v>0</v>
      </c>
      <c r="AL355" s="156">
        <v>0</v>
      </c>
      <c r="AM355" s="156">
        <v>0</v>
      </c>
      <c r="AN355" s="156">
        <v>0</v>
      </c>
      <c r="AO355" s="156">
        <v>157.29</v>
      </c>
      <c r="AP355" s="156">
        <v>0</v>
      </c>
      <c r="AQ355" s="156">
        <v>0</v>
      </c>
      <c r="AR355" s="156">
        <v>0</v>
      </c>
      <c r="AS355" s="156">
        <v>0</v>
      </c>
      <c r="AT355" s="156">
        <f t="shared" si="61"/>
        <v>2402.3399999999997</v>
      </c>
    </row>
    <row r="356" spans="1:46" ht="11.25" hidden="1" outlineLevel="3">
      <c r="A356" s="155" t="s">
        <v>145</v>
      </c>
      <c r="B356" s="155" t="s">
        <v>147</v>
      </c>
      <c r="C356" s="155" t="s">
        <v>133</v>
      </c>
      <c r="D356" s="156" t="s">
        <v>187</v>
      </c>
      <c r="E356" s="156" t="s">
        <v>139</v>
      </c>
      <c r="F356" s="157">
        <v>0</v>
      </c>
      <c r="G356" s="157">
        <v>2657</v>
      </c>
      <c r="H356" s="156">
        <v>574.79</v>
      </c>
      <c r="I356" s="156">
        <v>0</v>
      </c>
      <c r="J356" s="156">
        <v>0</v>
      </c>
      <c r="K356" s="156">
        <v>0</v>
      </c>
      <c r="L356" s="156">
        <v>0</v>
      </c>
      <c r="M356" s="156">
        <v>77.59</v>
      </c>
      <c r="N356" s="156">
        <f t="shared" si="60"/>
        <v>77.59</v>
      </c>
      <c r="O356" s="156">
        <v>0</v>
      </c>
      <c r="P356" s="156">
        <v>0</v>
      </c>
      <c r="Q356" s="156">
        <v>3.51</v>
      </c>
      <c r="R356" s="156">
        <v>0</v>
      </c>
      <c r="S356" s="156">
        <v>0</v>
      </c>
      <c r="T356" s="156">
        <v>0</v>
      </c>
      <c r="U356" s="156">
        <v>0</v>
      </c>
      <c r="V356" s="156">
        <v>0</v>
      </c>
      <c r="W356" s="156">
        <v>0</v>
      </c>
      <c r="X356" s="156">
        <v>0</v>
      </c>
      <c r="Y356" s="156">
        <v>0</v>
      </c>
      <c r="Z356" s="156">
        <v>0</v>
      </c>
      <c r="AA356" s="156">
        <v>0</v>
      </c>
      <c r="AB356" s="156">
        <v>0</v>
      </c>
      <c r="AC356" s="156">
        <v>0</v>
      </c>
      <c r="AD356" s="156">
        <v>0</v>
      </c>
      <c r="AE356" s="156">
        <v>0</v>
      </c>
      <c r="AF356" s="156">
        <v>0</v>
      </c>
      <c r="AG356" s="156">
        <v>0</v>
      </c>
      <c r="AH356" s="156">
        <v>0</v>
      </c>
      <c r="AI356" s="156">
        <v>0</v>
      </c>
      <c r="AJ356" s="156">
        <v>0</v>
      </c>
      <c r="AK356" s="156">
        <v>0</v>
      </c>
      <c r="AL356" s="156">
        <v>0</v>
      </c>
      <c r="AM356" s="156">
        <v>0</v>
      </c>
      <c r="AN356" s="156">
        <v>0</v>
      </c>
      <c r="AO356" s="156">
        <v>28.54</v>
      </c>
      <c r="AP356" s="156">
        <v>0</v>
      </c>
      <c r="AQ356" s="156">
        <v>0</v>
      </c>
      <c r="AR356" s="156">
        <v>0</v>
      </c>
      <c r="AS356" s="156">
        <v>0</v>
      </c>
      <c r="AT356" s="156">
        <f t="shared" si="61"/>
        <v>684.43</v>
      </c>
    </row>
    <row r="357" spans="1:46" ht="11.25" hidden="1" outlineLevel="3">
      <c r="A357" s="155" t="s">
        <v>152</v>
      </c>
      <c r="B357" s="155" t="s">
        <v>153</v>
      </c>
      <c r="C357" s="155" t="s">
        <v>133</v>
      </c>
      <c r="D357" s="156" t="s">
        <v>187</v>
      </c>
      <c r="E357" s="156" t="s">
        <v>139</v>
      </c>
      <c r="F357" s="157">
        <v>0</v>
      </c>
      <c r="G357" s="157">
        <v>8904</v>
      </c>
      <c r="H357" s="156">
        <v>1924.9</v>
      </c>
      <c r="I357" s="156">
        <v>0</v>
      </c>
      <c r="J357" s="156">
        <v>0</v>
      </c>
      <c r="K357" s="156">
        <v>10.93</v>
      </c>
      <c r="L357" s="156">
        <v>0</v>
      </c>
      <c r="M357" s="156">
        <v>0</v>
      </c>
      <c r="N357" s="156">
        <f t="shared" si="60"/>
        <v>10.93</v>
      </c>
      <c r="O357" s="156">
        <v>0</v>
      </c>
      <c r="P357" s="156">
        <v>0</v>
      </c>
      <c r="Q357" s="156">
        <v>0</v>
      </c>
      <c r="R357" s="156">
        <v>0</v>
      </c>
      <c r="S357" s="156">
        <v>0</v>
      </c>
      <c r="T357" s="156">
        <v>0</v>
      </c>
      <c r="U357" s="156">
        <v>0</v>
      </c>
      <c r="V357" s="156">
        <v>0</v>
      </c>
      <c r="W357" s="156">
        <v>0</v>
      </c>
      <c r="X357" s="156">
        <v>0</v>
      </c>
      <c r="Y357" s="156">
        <v>0</v>
      </c>
      <c r="Z357" s="156">
        <v>6.32</v>
      </c>
      <c r="AA357" s="156">
        <v>0</v>
      </c>
      <c r="AB357" s="156">
        <v>0</v>
      </c>
      <c r="AC357" s="156">
        <v>0</v>
      </c>
      <c r="AD357" s="156">
        <v>0</v>
      </c>
      <c r="AE357" s="156">
        <v>0</v>
      </c>
      <c r="AF357" s="156">
        <v>0</v>
      </c>
      <c r="AG357" s="156">
        <v>0</v>
      </c>
      <c r="AH357" s="156">
        <v>0</v>
      </c>
      <c r="AI357" s="156">
        <v>0</v>
      </c>
      <c r="AJ357" s="156">
        <v>0</v>
      </c>
      <c r="AK357" s="156">
        <v>0</v>
      </c>
      <c r="AL357" s="156">
        <v>0</v>
      </c>
      <c r="AM357" s="156">
        <v>-44.72</v>
      </c>
      <c r="AN357" s="156">
        <v>0</v>
      </c>
      <c r="AO357" s="156">
        <v>0</v>
      </c>
      <c r="AP357" s="156">
        <v>0</v>
      </c>
      <c r="AQ357" s="156">
        <v>0</v>
      </c>
      <c r="AR357" s="156">
        <v>0</v>
      </c>
      <c r="AS357" s="156">
        <v>0</v>
      </c>
      <c r="AT357" s="156">
        <f t="shared" si="61"/>
        <v>1897.43</v>
      </c>
    </row>
    <row r="358" spans="1:46" ht="11.25" hidden="1" outlineLevel="3">
      <c r="A358" s="155" t="s">
        <v>152</v>
      </c>
      <c r="B358" s="155" t="s">
        <v>154</v>
      </c>
      <c r="C358" s="155" t="s">
        <v>133</v>
      </c>
      <c r="D358" s="156" t="s">
        <v>187</v>
      </c>
      <c r="E358" s="156" t="s">
        <v>139</v>
      </c>
      <c r="F358" s="157">
        <v>0</v>
      </c>
      <c r="G358" s="157">
        <v>15413</v>
      </c>
      <c r="H358" s="156">
        <v>2888.72</v>
      </c>
      <c r="I358" s="156">
        <v>0</v>
      </c>
      <c r="J358" s="156">
        <v>0</v>
      </c>
      <c r="K358" s="156">
        <v>22.71</v>
      </c>
      <c r="L358" s="156">
        <v>0</v>
      </c>
      <c r="M358" s="156">
        <v>0</v>
      </c>
      <c r="N358" s="156">
        <f t="shared" si="60"/>
        <v>22.71</v>
      </c>
      <c r="O358" s="156">
        <v>0</v>
      </c>
      <c r="P358" s="156">
        <v>0</v>
      </c>
      <c r="Q358" s="156">
        <v>0</v>
      </c>
      <c r="R358" s="156">
        <v>0</v>
      </c>
      <c r="S358" s="156">
        <v>0</v>
      </c>
      <c r="T358" s="156">
        <v>0</v>
      </c>
      <c r="U358" s="156">
        <v>0</v>
      </c>
      <c r="V358" s="156">
        <v>0</v>
      </c>
      <c r="W358" s="156">
        <v>0</v>
      </c>
      <c r="X358" s="156">
        <v>0</v>
      </c>
      <c r="Y358" s="156">
        <v>0</v>
      </c>
      <c r="Z358" s="156">
        <v>10.95</v>
      </c>
      <c r="AA358" s="156">
        <v>0</v>
      </c>
      <c r="AB358" s="156">
        <v>0</v>
      </c>
      <c r="AC358" s="156">
        <v>0</v>
      </c>
      <c r="AD358" s="156">
        <v>0</v>
      </c>
      <c r="AE358" s="156">
        <v>0</v>
      </c>
      <c r="AF358" s="156">
        <v>0</v>
      </c>
      <c r="AG358" s="156">
        <v>0</v>
      </c>
      <c r="AH358" s="156">
        <v>0</v>
      </c>
      <c r="AI358" s="156">
        <v>0</v>
      </c>
      <c r="AJ358" s="156">
        <v>0</v>
      </c>
      <c r="AK358" s="156">
        <v>0</v>
      </c>
      <c r="AL358" s="156">
        <v>0</v>
      </c>
      <c r="AM358" s="156">
        <v>-77.400000000000006</v>
      </c>
      <c r="AN358" s="156">
        <v>0</v>
      </c>
      <c r="AO358" s="156">
        <v>0</v>
      </c>
      <c r="AP358" s="156">
        <v>0</v>
      </c>
      <c r="AQ358" s="156">
        <v>0</v>
      </c>
      <c r="AR358" s="156">
        <v>0</v>
      </c>
      <c r="AS358" s="156">
        <v>0</v>
      </c>
      <c r="AT358" s="156">
        <f t="shared" si="61"/>
        <v>2844.9799999999996</v>
      </c>
    </row>
    <row r="359" spans="1:46" ht="11.25" hidden="1" outlineLevel="3">
      <c r="A359" s="155" t="s">
        <v>152</v>
      </c>
      <c r="B359" s="155" t="s">
        <v>155</v>
      </c>
      <c r="C359" s="155" t="s">
        <v>133</v>
      </c>
      <c r="D359" s="156" t="s">
        <v>187</v>
      </c>
      <c r="E359" s="156" t="s">
        <v>139</v>
      </c>
      <c r="F359" s="157">
        <v>0</v>
      </c>
      <c r="G359" s="157">
        <v>129513</v>
      </c>
      <c r="H359" s="156">
        <v>16889.919999999998</v>
      </c>
      <c r="I359" s="156">
        <v>0</v>
      </c>
      <c r="J359" s="156">
        <v>0</v>
      </c>
      <c r="K359" s="156">
        <v>6.02</v>
      </c>
      <c r="L359" s="156">
        <v>0</v>
      </c>
      <c r="M359" s="156">
        <v>0</v>
      </c>
      <c r="N359" s="156">
        <f t="shared" si="60"/>
        <v>6.02</v>
      </c>
      <c r="O359" s="156">
        <v>0</v>
      </c>
      <c r="P359" s="156">
        <v>0</v>
      </c>
      <c r="Q359" s="156">
        <v>0</v>
      </c>
      <c r="R359" s="156">
        <v>0</v>
      </c>
      <c r="S359" s="156">
        <v>0</v>
      </c>
      <c r="T359" s="156">
        <v>0</v>
      </c>
      <c r="U359" s="156">
        <v>0</v>
      </c>
      <c r="V359" s="156">
        <v>0</v>
      </c>
      <c r="W359" s="156">
        <v>0</v>
      </c>
      <c r="X359" s="156">
        <v>0</v>
      </c>
      <c r="Y359" s="156">
        <v>0</v>
      </c>
      <c r="Z359" s="156">
        <v>91.93</v>
      </c>
      <c r="AA359" s="156">
        <v>0</v>
      </c>
      <c r="AB359" s="156">
        <v>0</v>
      </c>
      <c r="AC359" s="156">
        <v>0</v>
      </c>
      <c r="AD359" s="156">
        <v>0</v>
      </c>
      <c r="AE359" s="156">
        <v>0</v>
      </c>
      <c r="AF359" s="156">
        <v>0</v>
      </c>
      <c r="AG359" s="156">
        <v>0</v>
      </c>
      <c r="AH359" s="156">
        <v>0</v>
      </c>
      <c r="AI359" s="156">
        <v>0</v>
      </c>
      <c r="AJ359" s="156">
        <v>0</v>
      </c>
      <c r="AK359" s="156">
        <v>0</v>
      </c>
      <c r="AL359" s="156">
        <v>0</v>
      </c>
      <c r="AM359" s="156">
        <v>-650.19000000000005</v>
      </c>
      <c r="AN359" s="156">
        <v>0</v>
      </c>
      <c r="AO359" s="156">
        <v>0</v>
      </c>
      <c r="AP359" s="156">
        <v>0</v>
      </c>
      <c r="AQ359" s="156">
        <v>0</v>
      </c>
      <c r="AR359" s="156">
        <v>0</v>
      </c>
      <c r="AS359" s="156">
        <v>0</v>
      </c>
      <c r="AT359" s="156">
        <f t="shared" si="61"/>
        <v>16337.679999999998</v>
      </c>
    </row>
    <row r="360" spans="1:46" ht="11.25" hidden="1" outlineLevel="3">
      <c r="A360" s="155" t="s">
        <v>152</v>
      </c>
      <c r="B360" s="155" t="s">
        <v>157</v>
      </c>
      <c r="C360" s="155" t="s">
        <v>133</v>
      </c>
      <c r="D360" s="156" t="s">
        <v>187</v>
      </c>
      <c r="E360" s="156" t="s">
        <v>139</v>
      </c>
      <c r="F360" s="157">
        <v>0</v>
      </c>
      <c r="G360" s="157">
        <v>40628</v>
      </c>
      <c r="H360" s="156">
        <v>6756.05</v>
      </c>
      <c r="I360" s="156">
        <v>0</v>
      </c>
      <c r="J360" s="156">
        <v>0</v>
      </c>
      <c r="K360" s="156">
        <v>70.77</v>
      </c>
      <c r="L360" s="156">
        <v>0</v>
      </c>
      <c r="M360" s="156">
        <v>0</v>
      </c>
      <c r="N360" s="156">
        <f t="shared" si="60"/>
        <v>70.77</v>
      </c>
      <c r="O360" s="156">
        <v>0</v>
      </c>
      <c r="P360" s="156">
        <v>0</v>
      </c>
      <c r="Q360" s="156">
        <v>0</v>
      </c>
      <c r="R360" s="156">
        <v>0</v>
      </c>
      <c r="S360" s="156">
        <v>0</v>
      </c>
      <c r="T360" s="156">
        <v>0</v>
      </c>
      <c r="U360" s="156">
        <v>0</v>
      </c>
      <c r="V360" s="156">
        <v>0</v>
      </c>
      <c r="W360" s="156">
        <v>0</v>
      </c>
      <c r="X360" s="156">
        <v>0</v>
      </c>
      <c r="Y360" s="156">
        <v>0</v>
      </c>
      <c r="Z360" s="156">
        <v>28.89</v>
      </c>
      <c r="AA360" s="156">
        <v>0</v>
      </c>
      <c r="AB360" s="156">
        <v>0</v>
      </c>
      <c r="AC360" s="156">
        <v>0</v>
      </c>
      <c r="AD360" s="156">
        <v>0</v>
      </c>
      <c r="AE360" s="156">
        <v>0</v>
      </c>
      <c r="AF360" s="156">
        <v>0</v>
      </c>
      <c r="AG360" s="156">
        <v>0</v>
      </c>
      <c r="AH360" s="156">
        <v>0</v>
      </c>
      <c r="AI360" s="156">
        <v>0</v>
      </c>
      <c r="AJ360" s="156">
        <v>0</v>
      </c>
      <c r="AK360" s="156">
        <v>0</v>
      </c>
      <c r="AL360" s="156">
        <v>0</v>
      </c>
      <c r="AM360" s="156">
        <v>-203.98</v>
      </c>
      <c r="AN360" s="156">
        <v>0</v>
      </c>
      <c r="AO360" s="156">
        <v>0</v>
      </c>
      <c r="AP360" s="156">
        <v>0</v>
      </c>
      <c r="AQ360" s="156">
        <v>0</v>
      </c>
      <c r="AR360" s="156">
        <v>0</v>
      </c>
      <c r="AS360" s="156">
        <v>0</v>
      </c>
      <c r="AT360" s="156">
        <f t="shared" si="61"/>
        <v>6651.7300000000014</v>
      </c>
    </row>
    <row r="361" spans="1:46" ht="11.25" hidden="1" outlineLevel="3">
      <c r="A361" s="155" t="s">
        <v>152</v>
      </c>
      <c r="B361" s="155" t="s">
        <v>137</v>
      </c>
      <c r="C361" s="155" t="s">
        <v>133</v>
      </c>
      <c r="D361" s="156" t="s">
        <v>187</v>
      </c>
      <c r="E361" s="156" t="s">
        <v>139</v>
      </c>
      <c r="F361" s="157">
        <v>0</v>
      </c>
      <c r="G361" s="157">
        <v>8733</v>
      </c>
      <c r="H361" s="156">
        <v>2285.14</v>
      </c>
      <c r="I361" s="156">
        <v>0</v>
      </c>
      <c r="J361" s="156">
        <v>0</v>
      </c>
      <c r="K361" s="156">
        <v>9.3699999999999992</v>
      </c>
      <c r="L361" s="156">
        <v>0</v>
      </c>
      <c r="M361" s="156">
        <v>0</v>
      </c>
      <c r="N361" s="156">
        <f t="shared" si="60"/>
        <v>9.3699999999999992</v>
      </c>
      <c r="O361" s="156">
        <v>0</v>
      </c>
      <c r="P361" s="156">
        <v>0</v>
      </c>
      <c r="Q361" s="156">
        <v>0</v>
      </c>
      <c r="R361" s="156">
        <v>0</v>
      </c>
      <c r="S361" s="156">
        <v>0</v>
      </c>
      <c r="T361" s="156">
        <v>0</v>
      </c>
      <c r="U361" s="156">
        <v>0</v>
      </c>
      <c r="V361" s="156">
        <v>0</v>
      </c>
      <c r="W361" s="156">
        <v>0</v>
      </c>
      <c r="X361" s="156">
        <v>0</v>
      </c>
      <c r="Y361" s="156">
        <v>0</v>
      </c>
      <c r="Z361" s="156">
        <v>6.19</v>
      </c>
      <c r="AA361" s="156">
        <v>0</v>
      </c>
      <c r="AB361" s="156">
        <v>0</v>
      </c>
      <c r="AC361" s="156">
        <v>0</v>
      </c>
      <c r="AD361" s="156">
        <v>0</v>
      </c>
      <c r="AE361" s="156">
        <v>0</v>
      </c>
      <c r="AF361" s="156">
        <v>0</v>
      </c>
      <c r="AG361" s="156">
        <v>0</v>
      </c>
      <c r="AH361" s="156">
        <v>0</v>
      </c>
      <c r="AI361" s="156">
        <v>0</v>
      </c>
      <c r="AJ361" s="156">
        <v>0</v>
      </c>
      <c r="AK361" s="156">
        <v>0</v>
      </c>
      <c r="AL361" s="156">
        <v>0</v>
      </c>
      <c r="AM361" s="156">
        <v>-43.85</v>
      </c>
      <c r="AN361" s="156">
        <v>0</v>
      </c>
      <c r="AO361" s="156">
        <v>0</v>
      </c>
      <c r="AP361" s="156">
        <v>0</v>
      </c>
      <c r="AQ361" s="156">
        <v>0</v>
      </c>
      <c r="AR361" s="156">
        <v>0</v>
      </c>
      <c r="AS361" s="156">
        <v>0</v>
      </c>
      <c r="AT361" s="156">
        <f t="shared" si="61"/>
        <v>2256.85</v>
      </c>
    </row>
    <row r="362" spans="1:46" ht="11.25" hidden="1" outlineLevel="3">
      <c r="A362" s="155" t="s">
        <v>152</v>
      </c>
      <c r="B362" s="155" t="s">
        <v>158</v>
      </c>
      <c r="C362" s="155" t="s">
        <v>133</v>
      </c>
      <c r="D362" s="156" t="s">
        <v>187</v>
      </c>
      <c r="E362" s="156" t="s">
        <v>139</v>
      </c>
      <c r="F362" s="157">
        <v>0</v>
      </c>
      <c r="G362" s="157">
        <v>8117</v>
      </c>
      <c r="H362" s="156">
        <v>1756.5</v>
      </c>
      <c r="I362" s="156">
        <v>0</v>
      </c>
      <c r="J362" s="156">
        <v>0</v>
      </c>
      <c r="K362" s="156">
        <v>4.54</v>
      </c>
      <c r="L362" s="156">
        <v>0</v>
      </c>
      <c r="M362" s="156">
        <v>0</v>
      </c>
      <c r="N362" s="156">
        <f t="shared" si="60"/>
        <v>4.54</v>
      </c>
      <c r="O362" s="156">
        <v>0</v>
      </c>
      <c r="P362" s="156">
        <v>0</v>
      </c>
      <c r="Q362" s="156">
        <v>0</v>
      </c>
      <c r="R362" s="156">
        <v>0</v>
      </c>
      <c r="S362" s="156">
        <v>0</v>
      </c>
      <c r="T362" s="156">
        <v>0</v>
      </c>
      <c r="U362" s="156">
        <v>0</v>
      </c>
      <c r="V362" s="156">
        <v>0</v>
      </c>
      <c r="W362" s="156">
        <v>0</v>
      </c>
      <c r="X362" s="156">
        <v>0</v>
      </c>
      <c r="Y362" s="156">
        <v>0</v>
      </c>
      <c r="Z362" s="156">
        <v>5.77</v>
      </c>
      <c r="AA362" s="156">
        <v>0</v>
      </c>
      <c r="AB362" s="156">
        <v>0</v>
      </c>
      <c r="AC362" s="156">
        <v>0</v>
      </c>
      <c r="AD362" s="156">
        <v>0</v>
      </c>
      <c r="AE362" s="156">
        <v>0</v>
      </c>
      <c r="AF362" s="156">
        <v>0</v>
      </c>
      <c r="AG362" s="156">
        <v>0</v>
      </c>
      <c r="AH362" s="156">
        <v>0</v>
      </c>
      <c r="AI362" s="156">
        <v>0</v>
      </c>
      <c r="AJ362" s="156">
        <v>0</v>
      </c>
      <c r="AK362" s="156">
        <v>0</v>
      </c>
      <c r="AL362" s="156">
        <v>0</v>
      </c>
      <c r="AM362" s="156">
        <v>-40.79</v>
      </c>
      <c r="AN362" s="156">
        <v>0</v>
      </c>
      <c r="AO362" s="156">
        <v>0</v>
      </c>
      <c r="AP362" s="156">
        <v>0</v>
      </c>
      <c r="AQ362" s="156">
        <v>0</v>
      </c>
      <c r="AR362" s="156">
        <v>0</v>
      </c>
      <c r="AS362" s="156">
        <v>0</v>
      </c>
      <c r="AT362" s="156">
        <f t="shared" si="61"/>
        <v>1726.02</v>
      </c>
    </row>
    <row r="363" spans="1:46" ht="11.25" hidden="1" outlineLevel="3">
      <c r="A363" s="155" t="s">
        <v>152</v>
      </c>
      <c r="B363" s="155" t="s">
        <v>159</v>
      </c>
      <c r="C363" s="155" t="s">
        <v>133</v>
      </c>
      <c r="D363" s="156" t="s">
        <v>187</v>
      </c>
      <c r="E363" s="156" t="s">
        <v>139</v>
      </c>
      <c r="F363" s="157">
        <v>0</v>
      </c>
      <c r="G363" s="157">
        <v>2339</v>
      </c>
      <c r="H363" s="156">
        <v>513.28</v>
      </c>
      <c r="I363" s="156">
        <v>0</v>
      </c>
      <c r="J363" s="156">
        <v>0</v>
      </c>
      <c r="K363" s="156">
        <v>8.11</v>
      </c>
      <c r="L363" s="156">
        <v>0</v>
      </c>
      <c r="M363" s="156">
        <v>0</v>
      </c>
      <c r="N363" s="156">
        <f t="shared" si="60"/>
        <v>8.11</v>
      </c>
      <c r="O363" s="156">
        <v>0</v>
      </c>
      <c r="P363" s="156">
        <v>0</v>
      </c>
      <c r="Q363" s="156">
        <v>0</v>
      </c>
      <c r="R363" s="156">
        <v>0</v>
      </c>
      <c r="S363" s="156">
        <v>0</v>
      </c>
      <c r="T363" s="156">
        <v>0</v>
      </c>
      <c r="U363" s="156">
        <v>0</v>
      </c>
      <c r="V363" s="156">
        <v>0</v>
      </c>
      <c r="W363" s="156">
        <v>0</v>
      </c>
      <c r="X363" s="156">
        <v>0</v>
      </c>
      <c r="Y363" s="156">
        <v>0</v>
      </c>
      <c r="Z363" s="156">
        <v>1.65</v>
      </c>
      <c r="AA363" s="156">
        <v>0</v>
      </c>
      <c r="AB363" s="156">
        <v>0</v>
      </c>
      <c r="AC363" s="156">
        <v>0</v>
      </c>
      <c r="AD363" s="156">
        <v>0</v>
      </c>
      <c r="AE363" s="156">
        <v>0</v>
      </c>
      <c r="AF363" s="156">
        <v>0</v>
      </c>
      <c r="AG363" s="156">
        <v>0</v>
      </c>
      <c r="AH363" s="156">
        <v>0</v>
      </c>
      <c r="AI363" s="156">
        <v>0</v>
      </c>
      <c r="AJ363" s="156">
        <v>0</v>
      </c>
      <c r="AK363" s="156">
        <v>0</v>
      </c>
      <c r="AL363" s="156">
        <v>0</v>
      </c>
      <c r="AM363" s="156">
        <v>-11.76</v>
      </c>
      <c r="AN363" s="156">
        <v>0</v>
      </c>
      <c r="AO363" s="156">
        <v>0</v>
      </c>
      <c r="AP363" s="156">
        <v>0</v>
      </c>
      <c r="AQ363" s="156">
        <v>0</v>
      </c>
      <c r="AR363" s="156">
        <v>0</v>
      </c>
      <c r="AS363" s="156">
        <v>0</v>
      </c>
      <c r="AT363" s="156">
        <f t="shared" si="61"/>
        <v>511.28</v>
      </c>
    </row>
    <row r="364" spans="1:46" ht="11.25" hidden="1" outlineLevel="3">
      <c r="A364" s="155" t="s">
        <v>152</v>
      </c>
      <c r="B364" s="155" t="s">
        <v>160</v>
      </c>
      <c r="C364" s="155" t="s">
        <v>133</v>
      </c>
      <c r="D364" s="156" t="s">
        <v>187</v>
      </c>
      <c r="E364" s="156" t="s">
        <v>139</v>
      </c>
      <c r="F364" s="157">
        <v>0</v>
      </c>
      <c r="G364" s="157">
        <v>26899</v>
      </c>
      <c r="H364" s="156">
        <v>4268.34</v>
      </c>
      <c r="I364" s="156">
        <v>0</v>
      </c>
      <c r="J364" s="156">
        <v>0</v>
      </c>
      <c r="K364" s="156">
        <v>64.87</v>
      </c>
      <c r="L364" s="156">
        <v>0</v>
      </c>
      <c r="M364" s="156">
        <v>0</v>
      </c>
      <c r="N364" s="156">
        <f t="shared" si="60"/>
        <v>64.87</v>
      </c>
      <c r="O364" s="156">
        <v>0</v>
      </c>
      <c r="P364" s="156">
        <v>0</v>
      </c>
      <c r="Q364" s="156">
        <v>0</v>
      </c>
      <c r="R364" s="156">
        <v>0</v>
      </c>
      <c r="S364" s="156">
        <v>0</v>
      </c>
      <c r="T364" s="156">
        <v>0</v>
      </c>
      <c r="U364" s="156">
        <v>0</v>
      </c>
      <c r="V364" s="156">
        <v>0</v>
      </c>
      <c r="W364" s="156">
        <v>0</v>
      </c>
      <c r="X364" s="156">
        <v>0</v>
      </c>
      <c r="Y364" s="156">
        <v>0</v>
      </c>
      <c r="Z364" s="156">
        <v>19.079999999999998</v>
      </c>
      <c r="AA364" s="156">
        <v>0</v>
      </c>
      <c r="AB364" s="156">
        <v>0</v>
      </c>
      <c r="AC364" s="156">
        <v>0</v>
      </c>
      <c r="AD364" s="156">
        <v>0</v>
      </c>
      <c r="AE364" s="156">
        <v>0</v>
      </c>
      <c r="AF364" s="156">
        <v>0</v>
      </c>
      <c r="AG364" s="156">
        <v>0</v>
      </c>
      <c r="AH364" s="156">
        <v>0</v>
      </c>
      <c r="AI364" s="156">
        <v>0</v>
      </c>
      <c r="AJ364" s="156">
        <v>0</v>
      </c>
      <c r="AK364" s="156">
        <v>0</v>
      </c>
      <c r="AL364" s="156">
        <v>0</v>
      </c>
      <c r="AM364" s="156">
        <v>-135.04</v>
      </c>
      <c r="AN364" s="156">
        <v>0</v>
      </c>
      <c r="AO364" s="156">
        <v>0</v>
      </c>
      <c r="AP364" s="156">
        <v>0</v>
      </c>
      <c r="AQ364" s="156">
        <v>0</v>
      </c>
      <c r="AR364" s="156">
        <v>0</v>
      </c>
      <c r="AS364" s="156">
        <v>0</v>
      </c>
      <c r="AT364" s="156">
        <f t="shared" si="61"/>
        <v>4217.25</v>
      </c>
    </row>
    <row r="365" spans="1:46" ht="11.25" hidden="1" outlineLevel="3">
      <c r="A365" s="155" t="s">
        <v>167</v>
      </c>
      <c r="B365" s="155" t="s">
        <v>146</v>
      </c>
      <c r="C365" s="155" t="s">
        <v>133</v>
      </c>
      <c r="D365" s="156" t="s">
        <v>187</v>
      </c>
      <c r="E365" s="156" t="s">
        <v>139</v>
      </c>
      <c r="F365" s="157">
        <v>0</v>
      </c>
      <c r="G365" s="157">
        <v>1498</v>
      </c>
      <c r="H365" s="156">
        <v>399.37</v>
      </c>
      <c r="I365" s="156">
        <v>0</v>
      </c>
      <c r="J365" s="156">
        <v>41.14</v>
      </c>
      <c r="K365" s="156">
        <v>0</v>
      </c>
      <c r="L365" s="156">
        <v>0</v>
      </c>
      <c r="M365" s="156">
        <v>0</v>
      </c>
      <c r="N365" s="156">
        <f t="shared" si="60"/>
        <v>41.14</v>
      </c>
      <c r="O365" s="156">
        <v>0</v>
      </c>
      <c r="P365" s="156">
        <v>0</v>
      </c>
      <c r="Q365" s="156">
        <v>0</v>
      </c>
      <c r="R365" s="156">
        <v>0</v>
      </c>
      <c r="S365" s="156">
        <v>0</v>
      </c>
      <c r="T365" s="156">
        <v>0</v>
      </c>
      <c r="U365" s="156">
        <v>0</v>
      </c>
      <c r="V365" s="156">
        <v>0</v>
      </c>
      <c r="W365" s="156">
        <v>0</v>
      </c>
      <c r="X365" s="156">
        <v>0.46</v>
      </c>
      <c r="Y365" s="156">
        <v>0</v>
      </c>
      <c r="Z365" s="156">
        <v>0</v>
      </c>
      <c r="AA365" s="156">
        <v>0</v>
      </c>
      <c r="AB365" s="156">
        <v>0</v>
      </c>
      <c r="AC365" s="156">
        <v>0</v>
      </c>
      <c r="AD365" s="156">
        <v>0</v>
      </c>
      <c r="AE365" s="156">
        <v>0</v>
      </c>
      <c r="AF365" s="156">
        <v>0</v>
      </c>
      <c r="AG365" s="156">
        <v>0</v>
      </c>
      <c r="AH365" s="156">
        <v>0</v>
      </c>
      <c r="AI365" s="156">
        <v>0</v>
      </c>
      <c r="AJ365" s="156">
        <v>0</v>
      </c>
      <c r="AK365" s="156">
        <v>0</v>
      </c>
      <c r="AL365" s="156">
        <v>0</v>
      </c>
      <c r="AM365" s="156">
        <v>-29.09</v>
      </c>
      <c r="AN365" s="156">
        <v>0</v>
      </c>
      <c r="AO365" s="156">
        <v>0</v>
      </c>
      <c r="AP365" s="156">
        <v>0</v>
      </c>
      <c r="AQ365" s="156">
        <v>0</v>
      </c>
      <c r="AR365" s="156">
        <v>0</v>
      </c>
      <c r="AS365" s="156">
        <v>0</v>
      </c>
      <c r="AT365" s="156">
        <f t="shared" si="61"/>
        <v>411.88</v>
      </c>
    </row>
    <row r="366" spans="1:46" ht="11.25" outlineLevel="2" collapsed="1">
      <c r="D366" s="156"/>
      <c r="E366" s="156" t="s">
        <v>219</v>
      </c>
      <c r="F366" s="157">
        <v>424</v>
      </c>
      <c r="G366" s="157">
        <f t="shared" ref="G366:AT366" si="62">SUBTOTAL(9,G353:G365)</f>
        <v>174727</v>
      </c>
      <c r="H366" s="156">
        <f t="shared" si="62"/>
        <v>30157.429999999993</v>
      </c>
      <c r="I366" s="156">
        <f t="shared" si="62"/>
        <v>0</v>
      </c>
      <c r="J366" s="156">
        <f t="shared" si="62"/>
        <v>41.14</v>
      </c>
      <c r="K366" s="156">
        <f t="shared" si="62"/>
        <v>265.93</v>
      </c>
      <c r="L366" s="156">
        <f t="shared" si="62"/>
        <v>154.41</v>
      </c>
      <c r="M366" s="156">
        <f t="shared" si="62"/>
        <v>505.25</v>
      </c>
      <c r="N366" s="156">
        <f t="shared" si="62"/>
        <v>966.73</v>
      </c>
      <c r="O366" s="156">
        <f t="shared" si="62"/>
        <v>19.920000000000002</v>
      </c>
      <c r="P366" s="156">
        <f t="shared" si="62"/>
        <v>25.82</v>
      </c>
      <c r="Q366" s="156">
        <f t="shared" si="62"/>
        <v>22.839999999999996</v>
      </c>
      <c r="R366" s="156">
        <f t="shared" si="62"/>
        <v>0</v>
      </c>
      <c r="S366" s="156">
        <f t="shared" si="62"/>
        <v>0</v>
      </c>
      <c r="T366" s="156">
        <f t="shared" si="62"/>
        <v>0</v>
      </c>
      <c r="U366" s="156">
        <f t="shared" si="62"/>
        <v>0</v>
      </c>
      <c r="V366" s="156">
        <f t="shared" si="62"/>
        <v>0</v>
      </c>
      <c r="W366" s="156">
        <f t="shared" si="62"/>
        <v>0</v>
      </c>
      <c r="X366" s="156">
        <f t="shared" si="62"/>
        <v>0.46</v>
      </c>
      <c r="Y366" s="156">
        <f t="shared" si="62"/>
        <v>10.58</v>
      </c>
      <c r="Z366" s="156">
        <f t="shared" si="62"/>
        <v>106.94</v>
      </c>
      <c r="AA366" s="156">
        <f t="shared" si="62"/>
        <v>17.28</v>
      </c>
      <c r="AB366" s="156">
        <f t="shared" si="62"/>
        <v>0</v>
      </c>
      <c r="AC366" s="156">
        <f t="shared" si="62"/>
        <v>0</v>
      </c>
      <c r="AD366" s="156">
        <f t="shared" si="62"/>
        <v>0</v>
      </c>
      <c r="AE366" s="156">
        <f t="shared" si="62"/>
        <v>0</v>
      </c>
      <c r="AF366" s="156">
        <f t="shared" si="62"/>
        <v>0</v>
      </c>
      <c r="AG366" s="156">
        <f t="shared" si="62"/>
        <v>0</v>
      </c>
      <c r="AH366" s="156">
        <f t="shared" si="62"/>
        <v>0</v>
      </c>
      <c r="AI366" s="156">
        <f t="shared" si="62"/>
        <v>0</v>
      </c>
      <c r="AJ366" s="156">
        <f t="shared" si="62"/>
        <v>0</v>
      </c>
      <c r="AK366" s="156">
        <f t="shared" si="62"/>
        <v>0</v>
      </c>
      <c r="AL366" s="156">
        <f t="shared" si="62"/>
        <v>75.239999999999995</v>
      </c>
      <c r="AM366" s="156">
        <f t="shared" si="62"/>
        <v>-946.65</v>
      </c>
      <c r="AN366" s="156">
        <f t="shared" si="62"/>
        <v>0</v>
      </c>
      <c r="AO366" s="156">
        <f t="shared" si="62"/>
        <v>185.82999999999998</v>
      </c>
      <c r="AP366" s="156">
        <f t="shared" si="62"/>
        <v>0</v>
      </c>
      <c r="AQ366" s="156">
        <f t="shared" si="62"/>
        <v>0</v>
      </c>
      <c r="AR366" s="156">
        <f t="shared" si="62"/>
        <v>0</v>
      </c>
      <c r="AS366" s="156">
        <f t="shared" si="62"/>
        <v>0</v>
      </c>
      <c r="AT366" s="156">
        <f t="shared" si="62"/>
        <v>30567.18</v>
      </c>
    </row>
    <row r="367" spans="1:46" ht="11.25" hidden="1" outlineLevel="3">
      <c r="A367" s="155" t="s">
        <v>152</v>
      </c>
      <c r="B367" s="155" t="s">
        <v>155</v>
      </c>
      <c r="C367" s="155" t="s">
        <v>133</v>
      </c>
      <c r="D367" s="156" t="s">
        <v>187</v>
      </c>
      <c r="E367" s="156" t="s">
        <v>140</v>
      </c>
      <c r="F367" s="157">
        <v>0</v>
      </c>
      <c r="G367" s="157">
        <v>40000</v>
      </c>
      <c r="H367" s="156">
        <v>4063.91</v>
      </c>
      <c r="I367" s="156">
        <v>0</v>
      </c>
      <c r="J367" s="156">
        <v>0</v>
      </c>
      <c r="K367" s="156">
        <v>113.68</v>
      </c>
      <c r="L367" s="156">
        <v>0</v>
      </c>
      <c r="M367" s="156">
        <v>0</v>
      </c>
      <c r="N367" s="156">
        <f>J367+K367+L367+M367</f>
        <v>113.68</v>
      </c>
      <c r="O367" s="156">
        <v>0</v>
      </c>
      <c r="P367" s="156">
        <v>0</v>
      </c>
      <c r="Q367" s="156">
        <v>0</v>
      </c>
      <c r="R367" s="156">
        <v>0</v>
      </c>
      <c r="S367" s="156">
        <v>0</v>
      </c>
      <c r="T367" s="156">
        <v>0</v>
      </c>
      <c r="U367" s="156">
        <v>0</v>
      </c>
      <c r="V367" s="156">
        <v>0</v>
      </c>
      <c r="W367" s="156">
        <v>0</v>
      </c>
      <c r="X367" s="156">
        <v>0</v>
      </c>
      <c r="Y367" s="156">
        <v>0</v>
      </c>
      <c r="Z367" s="156">
        <v>28.4</v>
      </c>
      <c r="AA367" s="156">
        <v>0</v>
      </c>
      <c r="AB367" s="156">
        <v>0</v>
      </c>
      <c r="AC367" s="156">
        <v>0</v>
      </c>
      <c r="AD367" s="156">
        <v>0</v>
      </c>
      <c r="AE367" s="156">
        <v>0</v>
      </c>
      <c r="AF367" s="156">
        <v>0</v>
      </c>
      <c r="AG367" s="156">
        <v>0</v>
      </c>
      <c r="AH367" s="156">
        <v>0</v>
      </c>
      <c r="AI367" s="156">
        <v>0</v>
      </c>
      <c r="AJ367" s="156">
        <v>0</v>
      </c>
      <c r="AK367" s="156">
        <v>0</v>
      </c>
      <c r="AL367" s="156">
        <v>0</v>
      </c>
      <c r="AM367" s="156">
        <v>-148</v>
      </c>
      <c r="AN367" s="156">
        <v>0</v>
      </c>
      <c r="AO367" s="156">
        <v>0</v>
      </c>
      <c r="AP367" s="156">
        <v>0</v>
      </c>
      <c r="AQ367" s="156">
        <v>0</v>
      </c>
      <c r="AR367" s="156">
        <v>0</v>
      </c>
      <c r="AS367" s="156">
        <v>0</v>
      </c>
      <c r="AT367" s="156">
        <f>H367+I367+N367+O367+P367+Q367+T367+X367+Y367+Z367+AA367+AB367+AM367+AO367</f>
        <v>4057.99</v>
      </c>
    </row>
    <row r="368" spans="1:46" ht="11.25" hidden="1" outlineLevel="3">
      <c r="A368" s="155" t="s">
        <v>152</v>
      </c>
      <c r="B368" s="155" t="s">
        <v>157</v>
      </c>
      <c r="C368" s="155" t="s">
        <v>133</v>
      </c>
      <c r="D368" s="156" t="s">
        <v>187</v>
      </c>
      <c r="E368" s="156" t="s">
        <v>140</v>
      </c>
      <c r="F368" s="157">
        <v>0</v>
      </c>
      <c r="G368" s="157">
        <v>15360</v>
      </c>
      <c r="H368" s="156">
        <v>2400.04</v>
      </c>
      <c r="I368" s="156">
        <v>0</v>
      </c>
      <c r="J368" s="156">
        <v>0</v>
      </c>
      <c r="K368" s="156">
        <v>16.77</v>
      </c>
      <c r="L368" s="156">
        <v>0</v>
      </c>
      <c r="M368" s="156">
        <v>0</v>
      </c>
      <c r="N368" s="156">
        <f>J368+K368+L368+M368</f>
        <v>16.77</v>
      </c>
      <c r="O368" s="156">
        <v>0</v>
      </c>
      <c r="P368" s="156">
        <v>0</v>
      </c>
      <c r="Q368" s="156">
        <v>0</v>
      </c>
      <c r="R368" s="156">
        <v>0</v>
      </c>
      <c r="S368" s="156">
        <v>0</v>
      </c>
      <c r="T368" s="156">
        <v>0</v>
      </c>
      <c r="U368" s="156">
        <v>0</v>
      </c>
      <c r="V368" s="156">
        <v>0</v>
      </c>
      <c r="W368" s="156">
        <v>0</v>
      </c>
      <c r="X368" s="156">
        <v>0</v>
      </c>
      <c r="Y368" s="156">
        <v>0</v>
      </c>
      <c r="Z368" s="156">
        <v>10.9</v>
      </c>
      <c r="AA368" s="156">
        <v>0</v>
      </c>
      <c r="AB368" s="156">
        <v>0</v>
      </c>
      <c r="AC368" s="156">
        <v>0</v>
      </c>
      <c r="AD368" s="156">
        <v>0</v>
      </c>
      <c r="AE368" s="156">
        <v>0</v>
      </c>
      <c r="AF368" s="156">
        <v>0</v>
      </c>
      <c r="AG368" s="156">
        <v>0</v>
      </c>
      <c r="AH368" s="156">
        <v>0</v>
      </c>
      <c r="AI368" s="156">
        <v>0</v>
      </c>
      <c r="AJ368" s="156">
        <v>0</v>
      </c>
      <c r="AK368" s="156">
        <v>0</v>
      </c>
      <c r="AL368" s="156">
        <v>0</v>
      </c>
      <c r="AM368" s="156">
        <v>-56.84</v>
      </c>
      <c r="AN368" s="156">
        <v>0</v>
      </c>
      <c r="AO368" s="156">
        <v>0</v>
      </c>
      <c r="AP368" s="156">
        <v>0</v>
      </c>
      <c r="AQ368" s="156">
        <v>0</v>
      </c>
      <c r="AR368" s="156">
        <v>0</v>
      </c>
      <c r="AS368" s="156">
        <v>0</v>
      </c>
      <c r="AT368" s="156">
        <f>H368+I368+N368+O368+P368+Q368+T368+X368+Y368+Z368+AA368+AB368+AM368+AO368</f>
        <v>2370.87</v>
      </c>
    </row>
    <row r="369" spans="1:46" ht="11.25" outlineLevel="2" collapsed="1">
      <c r="D369" s="156"/>
      <c r="E369" s="156" t="s">
        <v>220</v>
      </c>
      <c r="F369" s="157">
        <v>3</v>
      </c>
      <c r="G369" s="157">
        <f t="shared" ref="G369:AT369" si="63">SUBTOTAL(9,G367:G368)</f>
        <v>55360</v>
      </c>
      <c r="H369" s="156">
        <f t="shared" si="63"/>
        <v>6463.95</v>
      </c>
      <c r="I369" s="156">
        <f t="shared" si="63"/>
        <v>0</v>
      </c>
      <c r="J369" s="156">
        <f t="shared" si="63"/>
        <v>0</v>
      </c>
      <c r="K369" s="156">
        <f t="shared" si="63"/>
        <v>130.45000000000002</v>
      </c>
      <c r="L369" s="156">
        <f t="shared" si="63"/>
        <v>0</v>
      </c>
      <c r="M369" s="156">
        <f t="shared" si="63"/>
        <v>0</v>
      </c>
      <c r="N369" s="156">
        <f t="shared" si="63"/>
        <v>130.45000000000002</v>
      </c>
      <c r="O369" s="156">
        <f t="shared" si="63"/>
        <v>0</v>
      </c>
      <c r="P369" s="156">
        <f t="shared" si="63"/>
        <v>0</v>
      </c>
      <c r="Q369" s="156">
        <f t="shared" si="63"/>
        <v>0</v>
      </c>
      <c r="R369" s="156">
        <f t="shared" si="63"/>
        <v>0</v>
      </c>
      <c r="S369" s="156">
        <f t="shared" si="63"/>
        <v>0</v>
      </c>
      <c r="T369" s="156">
        <f t="shared" si="63"/>
        <v>0</v>
      </c>
      <c r="U369" s="156">
        <f t="shared" si="63"/>
        <v>0</v>
      </c>
      <c r="V369" s="156">
        <f t="shared" si="63"/>
        <v>0</v>
      </c>
      <c r="W369" s="156">
        <f t="shared" si="63"/>
        <v>0</v>
      </c>
      <c r="X369" s="156">
        <f t="shared" si="63"/>
        <v>0</v>
      </c>
      <c r="Y369" s="156">
        <f t="shared" si="63"/>
        <v>0</v>
      </c>
      <c r="Z369" s="156">
        <f t="shared" si="63"/>
        <v>39.299999999999997</v>
      </c>
      <c r="AA369" s="156">
        <f t="shared" si="63"/>
        <v>0</v>
      </c>
      <c r="AB369" s="156">
        <f t="shared" si="63"/>
        <v>0</v>
      </c>
      <c r="AC369" s="156">
        <f t="shared" si="63"/>
        <v>0</v>
      </c>
      <c r="AD369" s="156">
        <f t="shared" si="63"/>
        <v>0</v>
      </c>
      <c r="AE369" s="156">
        <f t="shared" si="63"/>
        <v>0</v>
      </c>
      <c r="AF369" s="156">
        <f t="shared" si="63"/>
        <v>0</v>
      </c>
      <c r="AG369" s="156">
        <f t="shared" si="63"/>
        <v>0</v>
      </c>
      <c r="AH369" s="156">
        <f t="shared" si="63"/>
        <v>0</v>
      </c>
      <c r="AI369" s="156">
        <f t="shared" si="63"/>
        <v>0</v>
      </c>
      <c r="AJ369" s="156">
        <f t="shared" si="63"/>
        <v>0</v>
      </c>
      <c r="AK369" s="156">
        <f t="shared" si="63"/>
        <v>0</v>
      </c>
      <c r="AL369" s="156">
        <f t="shared" si="63"/>
        <v>0</v>
      </c>
      <c r="AM369" s="156">
        <f t="shared" si="63"/>
        <v>-204.84</v>
      </c>
      <c r="AN369" s="156">
        <f t="shared" si="63"/>
        <v>0</v>
      </c>
      <c r="AO369" s="156">
        <f t="shared" si="63"/>
        <v>0</v>
      </c>
      <c r="AP369" s="156">
        <f t="shared" si="63"/>
        <v>0</v>
      </c>
      <c r="AQ369" s="156">
        <f t="shared" si="63"/>
        <v>0</v>
      </c>
      <c r="AR369" s="156">
        <f t="shared" si="63"/>
        <v>0</v>
      </c>
      <c r="AS369" s="156">
        <f t="shared" si="63"/>
        <v>0</v>
      </c>
      <c r="AT369" s="156">
        <f t="shared" si="63"/>
        <v>6428.86</v>
      </c>
    </row>
    <row r="370" spans="1:46" ht="11.25" hidden="1" outlineLevel="3">
      <c r="A370" s="155" t="s">
        <v>131</v>
      </c>
      <c r="B370" s="155" t="s">
        <v>132</v>
      </c>
      <c r="C370" s="155" t="s">
        <v>133</v>
      </c>
      <c r="D370" s="156" t="s">
        <v>187</v>
      </c>
      <c r="E370" s="156" t="s">
        <v>141</v>
      </c>
      <c r="F370" s="157">
        <v>0</v>
      </c>
      <c r="G370" s="157">
        <v>673</v>
      </c>
      <c r="H370" s="156">
        <v>208.5</v>
      </c>
      <c r="I370" s="156">
        <v>0</v>
      </c>
      <c r="J370" s="156">
        <v>0</v>
      </c>
      <c r="K370" s="156">
        <v>0</v>
      </c>
      <c r="L370" s="156">
        <v>19.62</v>
      </c>
      <c r="M370" s="156">
        <v>0</v>
      </c>
      <c r="N370" s="156">
        <f t="shared" ref="N370:N381" si="64">J370+K370+L370+M370</f>
        <v>19.62</v>
      </c>
      <c r="O370" s="156">
        <v>0.98</v>
      </c>
      <c r="P370" s="156">
        <v>2.67</v>
      </c>
      <c r="Q370" s="156">
        <v>0</v>
      </c>
      <c r="R370" s="156">
        <v>0</v>
      </c>
      <c r="S370" s="156">
        <v>0</v>
      </c>
      <c r="T370" s="156">
        <v>0</v>
      </c>
      <c r="U370" s="156">
        <v>0</v>
      </c>
      <c r="V370" s="156">
        <v>0</v>
      </c>
      <c r="W370" s="156">
        <v>0</v>
      </c>
      <c r="X370" s="156">
        <v>0</v>
      </c>
      <c r="Y370" s="156">
        <v>1.36</v>
      </c>
      <c r="Z370" s="156">
        <v>0</v>
      </c>
      <c r="AA370" s="156">
        <v>0</v>
      </c>
      <c r="AB370" s="156">
        <v>0</v>
      </c>
      <c r="AC370" s="156">
        <v>0</v>
      </c>
      <c r="AD370" s="156">
        <v>0</v>
      </c>
      <c r="AE370" s="156">
        <v>0</v>
      </c>
      <c r="AF370" s="156">
        <v>0</v>
      </c>
      <c r="AG370" s="156">
        <v>0</v>
      </c>
      <c r="AH370" s="156">
        <v>0</v>
      </c>
      <c r="AI370" s="156">
        <v>0</v>
      </c>
      <c r="AJ370" s="156">
        <v>0</v>
      </c>
      <c r="AK370" s="156">
        <v>0</v>
      </c>
      <c r="AL370" s="156">
        <v>16.8</v>
      </c>
      <c r="AM370" s="156">
        <v>-45</v>
      </c>
      <c r="AN370" s="156">
        <v>0</v>
      </c>
      <c r="AO370" s="156">
        <v>0</v>
      </c>
      <c r="AP370" s="156">
        <v>0</v>
      </c>
      <c r="AQ370" s="156">
        <v>0</v>
      </c>
      <c r="AR370" s="156">
        <v>0</v>
      </c>
      <c r="AS370" s="156">
        <v>0</v>
      </c>
      <c r="AT370" s="156">
        <f t="shared" ref="AT370:AT381" si="65">H370+I370+N370+O370+P370+Q370+T370+X370+Y370+Z370+AA370+AB370+AM370+AO370</f>
        <v>188.13</v>
      </c>
    </row>
    <row r="371" spans="1:46" ht="11.25" hidden="1" outlineLevel="3">
      <c r="A371" s="155" t="s">
        <v>145</v>
      </c>
      <c r="B371" s="155" t="s">
        <v>146</v>
      </c>
      <c r="C371" s="155" t="s">
        <v>133</v>
      </c>
      <c r="D371" s="156" t="s">
        <v>187</v>
      </c>
      <c r="E371" s="156" t="s">
        <v>141</v>
      </c>
      <c r="F371" s="157">
        <v>0</v>
      </c>
      <c r="G371" s="157">
        <v>431</v>
      </c>
      <c r="H371" s="156">
        <v>128.38</v>
      </c>
      <c r="I371" s="156">
        <v>0</v>
      </c>
      <c r="J371" s="156">
        <v>0</v>
      </c>
      <c r="K371" s="156">
        <v>0</v>
      </c>
      <c r="L371" s="156">
        <v>0</v>
      </c>
      <c r="M371" s="156">
        <v>12.59</v>
      </c>
      <c r="N371" s="156">
        <f t="shared" si="64"/>
        <v>12.59</v>
      </c>
      <c r="O371" s="156">
        <v>0</v>
      </c>
      <c r="P371" s="156">
        <v>0</v>
      </c>
      <c r="Q371" s="156">
        <v>0.56999999999999995</v>
      </c>
      <c r="R371" s="156">
        <v>0</v>
      </c>
      <c r="S371" s="156">
        <v>0</v>
      </c>
      <c r="T371" s="156">
        <v>0</v>
      </c>
      <c r="U371" s="156">
        <v>0</v>
      </c>
      <c r="V371" s="156">
        <v>0</v>
      </c>
      <c r="W371" s="156">
        <v>0</v>
      </c>
      <c r="X371" s="156">
        <v>0</v>
      </c>
      <c r="Y371" s="156">
        <v>0</v>
      </c>
      <c r="Z371" s="156">
        <v>0</v>
      </c>
      <c r="AA371" s="156">
        <v>0</v>
      </c>
      <c r="AB371" s="156">
        <v>0</v>
      </c>
      <c r="AC371" s="156">
        <v>0</v>
      </c>
      <c r="AD371" s="156">
        <v>0</v>
      </c>
      <c r="AE371" s="156">
        <v>0</v>
      </c>
      <c r="AF371" s="156">
        <v>0</v>
      </c>
      <c r="AG371" s="156">
        <v>0</v>
      </c>
      <c r="AH371" s="156">
        <v>0</v>
      </c>
      <c r="AI371" s="156">
        <v>0</v>
      </c>
      <c r="AJ371" s="156">
        <v>0</v>
      </c>
      <c r="AK371" s="156">
        <v>0</v>
      </c>
      <c r="AL371" s="156">
        <v>0</v>
      </c>
      <c r="AM371" s="156">
        <v>0</v>
      </c>
      <c r="AN371" s="156">
        <v>0</v>
      </c>
      <c r="AO371" s="156">
        <v>0.3</v>
      </c>
      <c r="AP371" s="156">
        <v>0</v>
      </c>
      <c r="AQ371" s="156">
        <v>0</v>
      </c>
      <c r="AR371" s="156">
        <v>0</v>
      </c>
      <c r="AS371" s="156">
        <v>0</v>
      </c>
      <c r="AT371" s="156">
        <f t="shared" si="65"/>
        <v>141.84</v>
      </c>
    </row>
    <row r="372" spans="1:46" ht="11.25" hidden="1" outlineLevel="3">
      <c r="A372" s="155" t="s">
        <v>145</v>
      </c>
      <c r="B372" s="155" t="s">
        <v>147</v>
      </c>
      <c r="C372" s="155" t="s">
        <v>133</v>
      </c>
      <c r="D372" s="156" t="s">
        <v>187</v>
      </c>
      <c r="E372" s="156" t="s">
        <v>141</v>
      </c>
      <c r="F372" s="157">
        <v>0</v>
      </c>
      <c r="G372" s="157">
        <v>0</v>
      </c>
      <c r="H372" s="156">
        <v>0</v>
      </c>
      <c r="I372" s="156">
        <v>0</v>
      </c>
      <c r="J372" s="156">
        <v>0</v>
      </c>
      <c r="K372" s="156">
        <v>0</v>
      </c>
      <c r="L372" s="156">
        <v>0</v>
      </c>
      <c r="M372" s="156">
        <v>0</v>
      </c>
      <c r="N372" s="156">
        <f t="shared" si="64"/>
        <v>0</v>
      </c>
      <c r="O372" s="156">
        <v>0</v>
      </c>
      <c r="P372" s="156">
        <v>0</v>
      </c>
      <c r="Q372" s="156">
        <v>0</v>
      </c>
      <c r="R372" s="156">
        <v>0</v>
      </c>
      <c r="S372" s="156">
        <v>0</v>
      </c>
      <c r="T372" s="156">
        <v>0</v>
      </c>
      <c r="U372" s="156">
        <v>0</v>
      </c>
      <c r="V372" s="156">
        <v>0</v>
      </c>
      <c r="W372" s="156">
        <v>0</v>
      </c>
      <c r="X372" s="156">
        <v>0</v>
      </c>
      <c r="Y372" s="156">
        <v>0</v>
      </c>
      <c r="Z372" s="156">
        <v>0</v>
      </c>
      <c r="AA372" s="156">
        <v>0</v>
      </c>
      <c r="AB372" s="156">
        <v>0</v>
      </c>
      <c r="AC372" s="156">
        <v>0</v>
      </c>
      <c r="AD372" s="156">
        <v>0</v>
      </c>
      <c r="AE372" s="156">
        <v>0</v>
      </c>
      <c r="AF372" s="156">
        <v>0</v>
      </c>
      <c r="AG372" s="156">
        <v>0</v>
      </c>
      <c r="AH372" s="156">
        <v>0</v>
      </c>
      <c r="AI372" s="156">
        <v>0</v>
      </c>
      <c r="AJ372" s="156">
        <v>0</v>
      </c>
      <c r="AK372" s="156">
        <v>0</v>
      </c>
      <c r="AL372" s="156">
        <v>0</v>
      </c>
      <c r="AM372" s="156">
        <v>0</v>
      </c>
      <c r="AN372" s="156">
        <v>0</v>
      </c>
      <c r="AO372" s="156">
        <v>0</v>
      </c>
      <c r="AP372" s="156">
        <v>0</v>
      </c>
      <c r="AQ372" s="156">
        <v>0</v>
      </c>
      <c r="AR372" s="156">
        <v>0</v>
      </c>
      <c r="AS372" s="156">
        <v>0</v>
      </c>
      <c r="AT372" s="156">
        <f t="shared" si="65"/>
        <v>0</v>
      </c>
    </row>
    <row r="373" spans="1:46" ht="11.25" hidden="1" outlineLevel="3">
      <c r="A373" s="155" t="s">
        <v>152</v>
      </c>
      <c r="B373" s="155" t="s">
        <v>153</v>
      </c>
      <c r="C373" s="155" t="s">
        <v>133</v>
      </c>
      <c r="D373" s="156" t="s">
        <v>187</v>
      </c>
      <c r="E373" s="156" t="s">
        <v>141</v>
      </c>
      <c r="F373" s="157">
        <v>0</v>
      </c>
      <c r="G373" s="157">
        <v>4842</v>
      </c>
      <c r="H373" s="156">
        <v>1209.58</v>
      </c>
      <c r="I373" s="156">
        <v>0</v>
      </c>
      <c r="J373" s="156">
        <v>0</v>
      </c>
      <c r="K373" s="156">
        <v>11.58</v>
      </c>
      <c r="L373" s="156">
        <v>0</v>
      </c>
      <c r="M373" s="156">
        <v>0</v>
      </c>
      <c r="N373" s="156">
        <f t="shared" si="64"/>
        <v>11.58</v>
      </c>
      <c r="O373" s="156">
        <v>0</v>
      </c>
      <c r="P373" s="156">
        <v>0</v>
      </c>
      <c r="Q373" s="156">
        <v>0</v>
      </c>
      <c r="R373" s="156">
        <v>0</v>
      </c>
      <c r="S373" s="156">
        <v>0</v>
      </c>
      <c r="T373" s="156">
        <v>0</v>
      </c>
      <c r="U373" s="156">
        <v>0</v>
      </c>
      <c r="V373" s="156">
        <v>0</v>
      </c>
      <c r="W373" s="156">
        <v>0</v>
      </c>
      <c r="X373" s="156">
        <v>0</v>
      </c>
      <c r="Y373" s="156">
        <v>0</v>
      </c>
      <c r="Z373" s="156">
        <v>0.1</v>
      </c>
      <c r="AA373" s="156">
        <v>0</v>
      </c>
      <c r="AB373" s="156">
        <v>0</v>
      </c>
      <c r="AC373" s="156">
        <v>0</v>
      </c>
      <c r="AD373" s="156">
        <v>0</v>
      </c>
      <c r="AE373" s="156">
        <v>0</v>
      </c>
      <c r="AF373" s="156">
        <v>0</v>
      </c>
      <c r="AG373" s="156">
        <v>0</v>
      </c>
      <c r="AH373" s="156">
        <v>0</v>
      </c>
      <c r="AI373" s="156">
        <v>0</v>
      </c>
      <c r="AJ373" s="156">
        <v>0</v>
      </c>
      <c r="AK373" s="156">
        <v>0</v>
      </c>
      <c r="AL373" s="156">
        <v>0</v>
      </c>
      <c r="AM373" s="156">
        <v>-32.729999999999997</v>
      </c>
      <c r="AN373" s="156">
        <v>0</v>
      </c>
      <c r="AO373" s="156">
        <v>0</v>
      </c>
      <c r="AP373" s="156">
        <v>0</v>
      </c>
      <c r="AQ373" s="156">
        <v>0</v>
      </c>
      <c r="AR373" s="156">
        <v>0</v>
      </c>
      <c r="AS373" s="156">
        <v>0</v>
      </c>
      <c r="AT373" s="156">
        <f t="shared" si="65"/>
        <v>1188.5299999999997</v>
      </c>
    </row>
    <row r="374" spans="1:46" ht="11.25" hidden="1" outlineLevel="3">
      <c r="A374" s="155" t="s">
        <v>152</v>
      </c>
      <c r="B374" s="155" t="s">
        <v>154</v>
      </c>
      <c r="C374" s="155" t="s">
        <v>133</v>
      </c>
      <c r="D374" s="156" t="s">
        <v>187</v>
      </c>
      <c r="E374" s="156" t="s">
        <v>141</v>
      </c>
      <c r="F374" s="157">
        <v>0</v>
      </c>
      <c r="G374" s="157">
        <v>790</v>
      </c>
      <c r="H374" s="156">
        <v>336.53</v>
      </c>
      <c r="I374" s="156">
        <v>0</v>
      </c>
      <c r="J374" s="156">
        <v>0</v>
      </c>
      <c r="K374" s="156">
        <v>1.1499999999999999</v>
      </c>
      <c r="L374" s="156">
        <v>0</v>
      </c>
      <c r="M374" s="156">
        <v>0</v>
      </c>
      <c r="N374" s="156">
        <f t="shared" si="64"/>
        <v>1.1499999999999999</v>
      </c>
      <c r="O374" s="156">
        <v>0</v>
      </c>
      <c r="P374" s="156">
        <v>0</v>
      </c>
      <c r="Q374" s="156">
        <v>0</v>
      </c>
      <c r="R374" s="156">
        <v>0</v>
      </c>
      <c r="S374" s="156">
        <v>0</v>
      </c>
      <c r="T374" s="156">
        <v>0</v>
      </c>
      <c r="U374" s="156">
        <v>0</v>
      </c>
      <c r="V374" s="156">
        <v>0</v>
      </c>
      <c r="W374" s="156">
        <v>0</v>
      </c>
      <c r="X374" s="156">
        <v>0</v>
      </c>
      <c r="Y374" s="156">
        <v>0</v>
      </c>
      <c r="Z374" s="156">
        <v>0.11</v>
      </c>
      <c r="AA374" s="156">
        <v>0</v>
      </c>
      <c r="AB374" s="156">
        <v>0</v>
      </c>
      <c r="AC374" s="156">
        <v>0</v>
      </c>
      <c r="AD374" s="156">
        <v>0</v>
      </c>
      <c r="AE374" s="156">
        <v>0</v>
      </c>
      <c r="AF374" s="156">
        <v>0</v>
      </c>
      <c r="AG374" s="156">
        <v>0</v>
      </c>
      <c r="AH374" s="156">
        <v>0</v>
      </c>
      <c r="AI374" s="156">
        <v>0</v>
      </c>
      <c r="AJ374" s="156">
        <v>0</v>
      </c>
      <c r="AK374" s="156">
        <v>0</v>
      </c>
      <c r="AL374" s="156">
        <v>0</v>
      </c>
      <c r="AM374" s="156">
        <v>-5.33</v>
      </c>
      <c r="AN374" s="156">
        <v>0</v>
      </c>
      <c r="AO374" s="156">
        <v>0</v>
      </c>
      <c r="AP374" s="156">
        <v>0</v>
      </c>
      <c r="AQ374" s="156">
        <v>0</v>
      </c>
      <c r="AR374" s="156">
        <v>0</v>
      </c>
      <c r="AS374" s="156">
        <v>0</v>
      </c>
      <c r="AT374" s="156">
        <f t="shared" si="65"/>
        <v>332.46</v>
      </c>
    </row>
    <row r="375" spans="1:46" ht="11.25" hidden="1" outlineLevel="3">
      <c r="A375" s="155" t="s">
        <v>152</v>
      </c>
      <c r="B375" s="155" t="s">
        <v>155</v>
      </c>
      <c r="C375" s="155" t="s">
        <v>133</v>
      </c>
      <c r="D375" s="156" t="s">
        <v>187</v>
      </c>
      <c r="E375" s="156" t="s">
        <v>141</v>
      </c>
      <c r="F375" s="157">
        <v>0</v>
      </c>
      <c r="G375" s="157">
        <v>1961</v>
      </c>
      <c r="H375" s="156">
        <v>372.39</v>
      </c>
      <c r="I375" s="156">
        <v>0</v>
      </c>
      <c r="J375" s="156">
        <v>0</v>
      </c>
      <c r="K375" s="156">
        <v>3.78</v>
      </c>
      <c r="L375" s="156">
        <v>0</v>
      </c>
      <c r="M375" s="156">
        <v>0</v>
      </c>
      <c r="N375" s="156">
        <f t="shared" si="64"/>
        <v>3.78</v>
      </c>
      <c r="O375" s="156">
        <v>0</v>
      </c>
      <c r="P375" s="156">
        <v>0</v>
      </c>
      <c r="Q375" s="156">
        <v>0</v>
      </c>
      <c r="R375" s="156">
        <v>0</v>
      </c>
      <c r="S375" s="156">
        <v>0</v>
      </c>
      <c r="T375" s="156">
        <v>0</v>
      </c>
      <c r="U375" s="156">
        <v>0</v>
      </c>
      <c r="V375" s="156">
        <v>0</v>
      </c>
      <c r="W375" s="156">
        <v>0</v>
      </c>
      <c r="X375" s="156">
        <v>0</v>
      </c>
      <c r="Y375" s="156">
        <v>0</v>
      </c>
      <c r="Z375" s="156">
        <v>1.26</v>
      </c>
      <c r="AA375" s="156">
        <v>0</v>
      </c>
      <c r="AB375" s="156">
        <v>0</v>
      </c>
      <c r="AC375" s="156">
        <v>0</v>
      </c>
      <c r="AD375" s="156">
        <v>0</v>
      </c>
      <c r="AE375" s="156">
        <v>0</v>
      </c>
      <c r="AF375" s="156">
        <v>0</v>
      </c>
      <c r="AG375" s="156">
        <v>0</v>
      </c>
      <c r="AH375" s="156">
        <v>0</v>
      </c>
      <c r="AI375" s="156">
        <v>0</v>
      </c>
      <c r="AJ375" s="156">
        <v>0</v>
      </c>
      <c r="AK375" s="156">
        <v>0</v>
      </c>
      <c r="AL375" s="156">
        <v>0</v>
      </c>
      <c r="AM375" s="156">
        <v>-13.26</v>
      </c>
      <c r="AN375" s="156">
        <v>0</v>
      </c>
      <c r="AO375" s="156">
        <v>0</v>
      </c>
      <c r="AP375" s="156">
        <v>0</v>
      </c>
      <c r="AQ375" s="156">
        <v>0</v>
      </c>
      <c r="AR375" s="156">
        <v>0</v>
      </c>
      <c r="AS375" s="156">
        <v>0</v>
      </c>
      <c r="AT375" s="156">
        <f t="shared" si="65"/>
        <v>364.16999999999996</v>
      </c>
    </row>
    <row r="376" spans="1:46" ht="11.25" hidden="1" outlineLevel="3">
      <c r="A376" s="155" t="s">
        <v>152</v>
      </c>
      <c r="B376" s="155" t="s">
        <v>157</v>
      </c>
      <c r="C376" s="155" t="s">
        <v>133</v>
      </c>
      <c r="D376" s="156" t="s">
        <v>187</v>
      </c>
      <c r="E376" s="156" t="s">
        <v>141</v>
      </c>
      <c r="F376" s="157">
        <v>0</v>
      </c>
      <c r="G376" s="157">
        <v>160</v>
      </c>
      <c r="H376" s="156">
        <v>279.95999999999998</v>
      </c>
      <c r="I376" s="156">
        <v>0</v>
      </c>
      <c r="J376" s="156">
        <v>0</v>
      </c>
      <c r="K376" s="156">
        <v>0.47</v>
      </c>
      <c r="L376" s="156">
        <v>0</v>
      </c>
      <c r="M376" s="156">
        <v>0</v>
      </c>
      <c r="N376" s="156">
        <f t="shared" si="64"/>
        <v>0.47</v>
      </c>
      <c r="O376" s="156">
        <v>0</v>
      </c>
      <c r="P376" s="156">
        <v>0</v>
      </c>
      <c r="Q376" s="156">
        <v>0</v>
      </c>
      <c r="R376" s="156">
        <v>0</v>
      </c>
      <c r="S376" s="156">
        <v>0</v>
      </c>
      <c r="T376" s="156">
        <v>0</v>
      </c>
      <c r="U376" s="156">
        <v>0</v>
      </c>
      <c r="V376" s="156">
        <v>0</v>
      </c>
      <c r="W376" s="156">
        <v>0</v>
      </c>
      <c r="X376" s="156">
        <v>0</v>
      </c>
      <c r="Y376" s="156">
        <v>0</v>
      </c>
      <c r="Z376" s="156">
        <v>0</v>
      </c>
      <c r="AA376" s="156">
        <v>0</v>
      </c>
      <c r="AB376" s="156">
        <v>0</v>
      </c>
      <c r="AC376" s="156">
        <v>0</v>
      </c>
      <c r="AD376" s="156">
        <v>0</v>
      </c>
      <c r="AE376" s="156">
        <v>0</v>
      </c>
      <c r="AF376" s="156">
        <v>0</v>
      </c>
      <c r="AG376" s="156">
        <v>0</v>
      </c>
      <c r="AH376" s="156">
        <v>0</v>
      </c>
      <c r="AI376" s="156">
        <v>0</v>
      </c>
      <c r="AJ376" s="156">
        <v>0</v>
      </c>
      <c r="AK376" s="156">
        <v>0</v>
      </c>
      <c r="AL376" s="156">
        <v>0</v>
      </c>
      <c r="AM376" s="156">
        <v>-1.08</v>
      </c>
      <c r="AN376" s="156">
        <v>0</v>
      </c>
      <c r="AO376" s="156">
        <v>0</v>
      </c>
      <c r="AP376" s="156">
        <v>0</v>
      </c>
      <c r="AQ376" s="156">
        <v>0</v>
      </c>
      <c r="AR376" s="156">
        <v>0</v>
      </c>
      <c r="AS376" s="156">
        <v>0</v>
      </c>
      <c r="AT376" s="156">
        <f t="shared" si="65"/>
        <v>279.35000000000002</v>
      </c>
    </row>
    <row r="377" spans="1:46" ht="11.25" hidden="1" outlineLevel="3">
      <c r="A377" s="155" t="s">
        <v>152</v>
      </c>
      <c r="B377" s="155" t="s">
        <v>137</v>
      </c>
      <c r="C377" s="155" t="s">
        <v>133</v>
      </c>
      <c r="D377" s="156" t="s">
        <v>187</v>
      </c>
      <c r="E377" s="156" t="s">
        <v>141</v>
      </c>
      <c r="F377" s="157">
        <v>0</v>
      </c>
      <c r="G377" s="157">
        <v>1834</v>
      </c>
      <c r="H377" s="156">
        <v>333.63</v>
      </c>
      <c r="I377" s="156">
        <v>0</v>
      </c>
      <c r="J377" s="156">
        <v>0</v>
      </c>
      <c r="K377" s="156">
        <v>2.42</v>
      </c>
      <c r="L377" s="156">
        <v>0</v>
      </c>
      <c r="M377" s="156">
        <v>0</v>
      </c>
      <c r="N377" s="156">
        <f t="shared" si="64"/>
        <v>2.42</v>
      </c>
      <c r="O377" s="156">
        <v>0</v>
      </c>
      <c r="P377" s="156">
        <v>0</v>
      </c>
      <c r="Q377" s="156">
        <v>0</v>
      </c>
      <c r="R377" s="156">
        <v>0</v>
      </c>
      <c r="S377" s="156">
        <v>0</v>
      </c>
      <c r="T377" s="156">
        <v>0</v>
      </c>
      <c r="U377" s="156">
        <v>0</v>
      </c>
      <c r="V377" s="156">
        <v>0</v>
      </c>
      <c r="W377" s="156">
        <v>0</v>
      </c>
      <c r="X377" s="156">
        <v>0</v>
      </c>
      <c r="Y377" s="156">
        <v>0</v>
      </c>
      <c r="Z377" s="156">
        <v>0</v>
      </c>
      <c r="AA377" s="156">
        <v>0</v>
      </c>
      <c r="AB377" s="156">
        <v>0</v>
      </c>
      <c r="AC377" s="156">
        <v>0</v>
      </c>
      <c r="AD377" s="156">
        <v>0</v>
      </c>
      <c r="AE377" s="156">
        <v>0</v>
      </c>
      <c r="AF377" s="156">
        <v>0</v>
      </c>
      <c r="AG377" s="156">
        <v>0</v>
      </c>
      <c r="AH377" s="156">
        <v>0</v>
      </c>
      <c r="AI377" s="156">
        <v>0</v>
      </c>
      <c r="AJ377" s="156">
        <v>0</v>
      </c>
      <c r="AK377" s="156">
        <v>0</v>
      </c>
      <c r="AL377" s="156">
        <v>0</v>
      </c>
      <c r="AM377" s="156">
        <v>-12.4</v>
      </c>
      <c r="AN377" s="156">
        <v>0</v>
      </c>
      <c r="AO377" s="156">
        <v>0</v>
      </c>
      <c r="AP377" s="156">
        <v>0</v>
      </c>
      <c r="AQ377" s="156">
        <v>0</v>
      </c>
      <c r="AR377" s="156">
        <v>0</v>
      </c>
      <c r="AS377" s="156">
        <v>0</v>
      </c>
      <c r="AT377" s="156">
        <f t="shared" si="65"/>
        <v>323.65000000000003</v>
      </c>
    </row>
    <row r="378" spans="1:46" ht="11.25" hidden="1" outlineLevel="3">
      <c r="A378" s="155" t="s">
        <v>152</v>
      </c>
      <c r="B378" s="155" t="s">
        <v>158</v>
      </c>
      <c r="C378" s="155" t="s">
        <v>133</v>
      </c>
      <c r="D378" s="156" t="s">
        <v>187</v>
      </c>
      <c r="E378" s="156" t="s">
        <v>141</v>
      </c>
      <c r="F378" s="157">
        <v>0</v>
      </c>
      <c r="G378" s="157">
        <v>1632</v>
      </c>
      <c r="H378" s="156">
        <v>390.19</v>
      </c>
      <c r="I378" s="156">
        <v>0</v>
      </c>
      <c r="J378" s="156">
        <v>0</v>
      </c>
      <c r="K378" s="156">
        <v>3.8</v>
      </c>
      <c r="L378" s="156">
        <v>0</v>
      </c>
      <c r="M378" s="156">
        <v>0</v>
      </c>
      <c r="N378" s="156">
        <f t="shared" si="64"/>
        <v>3.8</v>
      </c>
      <c r="O378" s="156">
        <v>0</v>
      </c>
      <c r="P378" s="156">
        <v>0</v>
      </c>
      <c r="Q378" s="156">
        <v>0</v>
      </c>
      <c r="R378" s="156">
        <v>0</v>
      </c>
      <c r="S378" s="156">
        <v>0</v>
      </c>
      <c r="T378" s="156">
        <v>0</v>
      </c>
      <c r="U378" s="156">
        <v>0</v>
      </c>
      <c r="V378" s="156">
        <v>0</v>
      </c>
      <c r="W378" s="156">
        <v>0</v>
      </c>
      <c r="X378" s="156">
        <v>0</v>
      </c>
      <c r="Y378" s="156">
        <v>0</v>
      </c>
      <c r="Z378" s="156">
        <v>0</v>
      </c>
      <c r="AA378" s="156">
        <v>0</v>
      </c>
      <c r="AB378" s="156">
        <v>0</v>
      </c>
      <c r="AC378" s="156">
        <v>0</v>
      </c>
      <c r="AD378" s="156">
        <v>0</v>
      </c>
      <c r="AE378" s="156">
        <v>0</v>
      </c>
      <c r="AF378" s="156">
        <v>0</v>
      </c>
      <c r="AG378" s="156">
        <v>0</v>
      </c>
      <c r="AH378" s="156">
        <v>0</v>
      </c>
      <c r="AI378" s="156">
        <v>0</v>
      </c>
      <c r="AJ378" s="156">
        <v>0</v>
      </c>
      <c r="AK378" s="156">
        <v>0</v>
      </c>
      <c r="AL378" s="156">
        <v>0</v>
      </c>
      <c r="AM378" s="156">
        <v>-11.03</v>
      </c>
      <c r="AN378" s="156">
        <v>0</v>
      </c>
      <c r="AO378" s="156">
        <v>0</v>
      </c>
      <c r="AP378" s="156">
        <v>0</v>
      </c>
      <c r="AQ378" s="156">
        <v>0</v>
      </c>
      <c r="AR378" s="156">
        <v>0</v>
      </c>
      <c r="AS378" s="156">
        <v>0</v>
      </c>
      <c r="AT378" s="156">
        <f t="shared" si="65"/>
        <v>382.96000000000004</v>
      </c>
    </row>
    <row r="379" spans="1:46" ht="11.25" hidden="1" outlineLevel="3">
      <c r="A379" s="155" t="s">
        <v>152</v>
      </c>
      <c r="B379" s="155" t="s">
        <v>159</v>
      </c>
      <c r="C379" s="155" t="s">
        <v>133</v>
      </c>
      <c r="D379" s="156" t="s">
        <v>187</v>
      </c>
      <c r="E379" s="156" t="s">
        <v>141</v>
      </c>
      <c r="F379" s="157">
        <v>0</v>
      </c>
      <c r="G379" s="157">
        <v>375</v>
      </c>
      <c r="H379" s="156">
        <v>65.48</v>
      </c>
      <c r="I379" s="156">
        <v>0</v>
      </c>
      <c r="J379" s="156">
        <v>0</v>
      </c>
      <c r="K379" s="156">
        <v>1.32</v>
      </c>
      <c r="L379" s="156">
        <v>0</v>
      </c>
      <c r="M379" s="156">
        <v>0</v>
      </c>
      <c r="N379" s="156">
        <f t="shared" si="64"/>
        <v>1.32</v>
      </c>
      <c r="O379" s="156">
        <v>0</v>
      </c>
      <c r="P379" s="156">
        <v>0</v>
      </c>
      <c r="Q379" s="156">
        <v>0</v>
      </c>
      <c r="R379" s="156">
        <v>0</v>
      </c>
      <c r="S379" s="156">
        <v>0</v>
      </c>
      <c r="T379" s="156">
        <v>0</v>
      </c>
      <c r="U379" s="156">
        <v>0</v>
      </c>
      <c r="V379" s="156">
        <v>0</v>
      </c>
      <c r="W379" s="156">
        <v>0</v>
      </c>
      <c r="X379" s="156">
        <v>0</v>
      </c>
      <c r="Y379" s="156">
        <v>0</v>
      </c>
      <c r="Z379" s="156">
        <v>0</v>
      </c>
      <c r="AA379" s="156">
        <v>0</v>
      </c>
      <c r="AB379" s="156">
        <v>0</v>
      </c>
      <c r="AC379" s="156">
        <v>0</v>
      </c>
      <c r="AD379" s="156">
        <v>0</v>
      </c>
      <c r="AE379" s="156">
        <v>0</v>
      </c>
      <c r="AF379" s="156">
        <v>0</v>
      </c>
      <c r="AG379" s="156">
        <v>0</v>
      </c>
      <c r="AH379" s="156">
        <v>0</v>
      </c>
      <c r="AI379" s="156">
        <v>0</v>
      </c>
      <c r="AJ379" s="156">
        <v>0</v>
      </c>
      <c r="AK379" s="156">
        <v>0</v>
      </c>
      <c r="AL379" s="156">
        <v>0</v>
      </c>
      <c r="AM379" s="156">
        <v>-2.54</v>
      </c>
      <c r="AN379" s="156">
        <v>0</v>
      </c>
      <c r="AO379" s="156">
        <v>0</v>
      </c>
      <c r="AP379" s="156">
        <v>0</v>
      </c>
      <c r="AQ379" s="156">
        <v>0</v>
      </c>
      <c r="AR379" s="156">
        <v>0</v>
      </c>
      <c r="AS379" s="156">
        <v>0</v>
      </c>
      <c r="AT379" s="156">
        <f t="shared" si="65"/>
        <v>64.259999999999991</v>
      </c>
    </row>
    <row r="380" spans="1:46" ht="11.25" hidden="1" outlineLevel="3">
      <c r="A380" s="155" t="s">
        <v>152</v>
      </c>
      <c r="B380" s="155" t="s">
        <v>160</v>
      </c>
      <c r="C380" s="155" t="s">
        <v>133</v>
      </c>
      <c r="D380" s="156" t="s">
        <v>187</v>
      </c>
      <c r="E380" s="156" t="s">
        <v>141</v>
      </c>
      <c r="F380" s="157">
        <v>0</v>
      </c>
      <c r="G380" s="157">
        <v>2023</v>
      </c>
      <c r="H380" s="156">
        <v>452.59</v>
      </c>
      <c r="I380" s="156">
        <v>0</v>
      </c>
      <c r="J380" s="156">
        <v>0</v>
      </c>
      <c r="K380" s="156">
        <v>5.73</v>
      </c>
      <c r="L380" s="156">
        <v>0</v>
      </c>
      <c r="M380" s="156">
        <v>0</v>
      </c>
      <c r="N380" s="156">
        <f t="shared" si="64"/>
        <v>5.73</v>
      </c>
      <c r="O380" s="156">
        <v>0</v>
      </c>
      <c r="P380" s="156">
        <v>0</v>
      </c>
      <c r="Q380" s="156">
        <v>0</v>
      </c>
      <c r="R380" s="156">
        <v>0</v>
      </c>
      <c r="S380" s="156">
        <v>0</v>
      </c>
      <c r="T380" s="156">
        <v>0</v>
      </c>
      <c r="U380" s="156">
        <v>0</v>
      </c>
      <c r="V380" s="156">
        <v>0</v>
      </c>
      <c r="W380" s="156">
        <v>0</v>
      </c>
      <c r="X380" s="156">
        <v>0</v>
      </c>
      <c r="Y380" s="156">
        <v>0</v>
      </c>
      <c r="Z380" s="156">
        <v>0</v>
      </c>
      <c r="AA380" s="156">
        <v>0</v>
      </c>
      <c r="AB380" s="156">
        <v>0</v>
      </c>
      <c r="AC380" s="156">
        <v>0</v>
      </c>
      <c r="AD380" s="156">
        <v>0</v>
      </c>
      <c r="AE380" s="156">
        <v>0</v>
      </c>
      <c r="AF380" s="156">
        <v>0</v>
      </c>
      <c r="AG380" s="156">
        <v>0</v>
      </c>
      <c r="AH380" s="156">
        <v>0</v>
      </c>
      <c r="AI380" s="156">
        <v>0</v>
      </c>
      <c r="AJ380" s="156">
        <v>0</v>
      </c>
      <c r="AK380" s="156">
        <v>0</v>
      </c>
      <c r="AL380" s="156">
        <v>0</v>
      </c>
      <c r="AM380" s="156">
        <v>-13.67</v>
      </c>
      <c r="AN380" s="156">
        <v>0</v>
      </c>
      <c r="AO380" s="156">
        <v>0</v>
      </c>
      <c r="AP380" s="156">
        <v>0</v>
      </c>
      <c r="AQ380" s="156">
        <v>0</v>
      </c>
      <c r="AR380" s="156">
        <v>0</v>
      </c>
      <c r="AS380" s="156">
        <v>0</v>
      </c>
      <c r="AT380" s="156">
        <f t="shared" si="65"/>
        <v>444.65</v>
      </c>
    </row>
    <row r="381" spans="1:46" ht="11.25" hidden="1" outlineLevel="3">
      <c r="A381" s="155" t="s">
        <v>167</v>
      </c>
      <c r="B381" s="155" t="s">
        <v>146</v>
      </c>
      <c r="C381" s="155" t="s">
        <v>133</v>
      </c>
      <c r="D381" s="156" t="s">
        <v>187</v>
      </c>
      <c r="E381" s="156" t="s">
        <v>141</v>
      </c>
      <c r="F381" s="157">
        <v>0</v>
      </c>
      <c r="G381" s="157">
        <v>40</v>
      </c>
      <c r="H381" s="156">
        <v>32.07</v>
      </c>
      <c r="I381" s="156">
        <v>0</v>
      </c>
      <c r="J381" s="156">
        <v>1.1000000000000001</v>
      </c>
      <c r="K381" s="156">
        <v>0</v>
      </c>
      <c r="L381" s="156">
        <v>0</v>
      </c>
      <c r="M381" s="156">
        <v>0</v>
      </c>
      <c r="N381" s="156">
        <f t="shared" si="64"/>
        <v>1.1000000000000001</v>
      </c>
      <c r="O381" s="156">
        <v>0</v>
      </c>
      <c r="P381" s="156">
        <v>0</v>
      </c>
      <c r="Q381" s="156">
        <v>0</v>
      </c>
      <c r="R381" s="156">
        <v>0</v>
      </c>
      <c r="S381" s="156">
        <v>0</v>
      </c>
      <c r="T381" s="156">
        <v>0</v>
      </c>
      <c r="U381" s="156">
        <v>0</v>
      </c>
      <c r="V381" s="156">
        <v>0</v>
      </c>
      <c r="W381" s="156">
        <v>0</v>
      </c>
      <c r="X381" s="156">
        <v>0</v>
      </c>
      <c r="Y381" s="156">
        <v>0</v>
      </c>
      <c r="Z381" s="156">
        <v>0</v>
      </c>
      <c r="AA381" s="156">
        <v>0</v>
      </c>
      <c r="AB381" s="156">
        <v>0</v>
      </c>
      <c r="AC381" s="156">
        <v>0</v>
      </c>
      <c r="AD381" s="156">
        <v>0</v>
      </c>
      <c r="AE381" s="156">
        <v>0</v>
      </c>
      <c r="AF381" s="156">
        <v>0</v>
      </c>
      <c r="AG381" s="156">
        <v>0</v>
      </c>
      <c r="AH381" s="156">
        <v>0</v>
      </c>
      <c r="AI381" s="156">
        <v>0</v>
      </c>
      <c r="AJ381" s="156">
        <v>0</v>
      </c>
      <c r="AK381" s="156">
        <v>0</v>
      </c>
      <c r="AL381" s="156">
        <v>0</v>
      </c>
      <c r="AM381" s="156">
        <v>-1.17</v>
      </c>
      <c r="AN381" s="156">
        <v>0</v>
      </c>
      <c r="AO381" s="156">
        <v>0</v>
      </c>
      <c r="AP381" s="156">
        <v>0</v>
      </c>
      <c r="AQ381" s="156">
        <v>0</v>
      </c>
      <c r="AR381" s="156">
        <v>0</v>
      </c>
      <c r="AS381" s="156">
        <v>0</v>
      </c>
      <c r="AT381" s="156">
        <f t="shared" si="65"/>
        <v>32</v>
      </c>
    </row>
    <row r="382" spans="1:46" ht="11.25" outlineLevel="2" collapsed="1">
      <c r="D382" s="156"/>
      <c r="E382" s="156" t="s">
        <v>222</v>
      </c>
      <c r="F382" s="157">
        <v>89</v>
      </c>
      <c r="G382" s="157">
        <f t="shared" ref="G382:AT382" si="66">SUBTOTAL(9,G370:G381)</f>
        <v>14761</v>
      </c>
      <c r="H382" s="156">
        <f t="shared" si="66"/>
        <v>3809.3000000000006</v>
      </c>
      <c r="I382" s="156">
        <f t="shared" si="66"/>
        <v>0</v>
      </c>
      <c r="J382" s="156">
        <f t="shared" si="66"/>
        <v>1.1000000000000001</v>
      </c>
      <c r="K382" s="156">
        <f t="shared" si="66"/>
        <v>30.25</v>
      </c>
      <c r="L382" s="156">
        <f t="shared" si="66"/>
        <v>19.62</v>
      </c>
      <c r="M382" s="156">
        <f t="shared" si="66"/>
        <v>12.59</v>
      </c>
      <c r="N382" s="156">
        <f t="shared" si="66"/>
        <v>63.559999999999995</v>
      </c>
      <c r="O382" s="156">
        <f t="shared" si="66"/>
        <v>0.98</v>
      </c>
      <c r="P382" s="156">
        <f t="shared" si="66"/>
        <v>2.67</v>
      </c>
      <c r="Q382" s="156">
        <f t="shared" si="66"/>
        <v>0.56999999999999995</v>
      </c>
      <c r="R382" s="156">
        <f t="shared" si="66"/>
        <v>0</v>
      </c>
      <c r="S382" s="156">
        <f t="shared" si="66"/>
        <v>0</v>
      </c>
      <c r="T382" s="156">
        <f t="shared" si="66"/>
        <v>0</v>
      </c>
      <c r="U382" s="156">
        <f t="shared" si="66"/>
        <v>0</v>
      </c>
      <c r="V382" s="156">
        <f t="shared" si="66"/>
        <v>0</v>
      </c>
      <c r="W382" s="156">
        <f t="shared" si="66"/>
        <v>0</v>
      </c>
      <c r="X382" s="156">
        <f t="shared" si="66"/>
        <v>0</v>
      </c>
      <c r="Y382" s="156">
        <f t="shared" si="66"/>
        <v>1.36</v>
      </c>
      <c r="Z382" s="156">
        <f t="shared" si="66"/>
        <v>1.47</v>
      </c>
      <c r="AA382" s="156">
        <f t="shared" si="66"/>
        <v>0</v>
      </c>
      <c r="AB382" s="156">
        <f t="shared" si="66"/>
        <v>0</v>
      </c>
      <c r="AC382" s="156">
        <f t="shared" si="66"/>
        <v>0</v>
      </c>
      <c r="AD382" s="156">
        <f t="shared" si="66"/>
        <v>0</v>
      </c>
      <c r="AE382" s="156">
        <f t="shared" si="66"/>
        <v>0</v>
      </c>
      <c r="AF382" s="156">
        <f t="shared" si="66"/>
        <v>0</v>
      </c>
      <c r="AG382" s="156">
        <f t="shared" si="66"/>
        <v>0</v>
      </c>
      <c r="AH382" s="156">
        <f t="shared" si="66"/>
        <v>0</v>
      </c>
      <c r="AI382" s="156">
        <f t="shared" si="66"/>
        <v>0</v>
      </c>
      <c r="AJ382" s="156">
        <f t="shared" si="66"/>
        <v>0</v>
      </c>
      <c r="AK382" s="156">
        <f t="shared" si="66"/>
        <v>0</v>
      </c>
      <c r="AL382" s="156">
        <f t="shared" si="66"/>
        <v>16.8</v>
      </c>
      <c r="AM382" s="156">
        <f t="shared" si="66"/>
        <v>-138.20999999999998</v>
      </c>
      <c r="AN382" s="156">
        <f t="shared" si="66"/>
        <v>0</v>
      </c>
      <c r="AO382" s="156">
        <f t="shared" si="66"/>
        <v>0.3</v>
      </c>
      <c r="AP382" s="156">
        <f t="shared" si="66"/>
        <v>0</v>
      </c>
      <c r="AQ382" s="156">
        <f t="shared" si="66"/>
        <v>0</v>
      </c>
      <c r="AR382" s="156">
        <f t="shared" si="66"/>
        <v>0</v>
      </c>
      <c r="AS382" s="156">
        <f t="shared" si="66"/>
        <v>0</v>
      </c>
      <c r="AT382" s="156">
        <f t="shared" si="66"/>
        <v>3741.9999999999995</v>
      </c>
    </row>
    <row r="383" spans="1:46" ht="11.25" hidden="1" outlineLevel="3">
      <c r="A383" s="155" t="s">
        <v>152</v>
      </c>
      <c r="B383" s="155" t="s">
        <v>153</v>
      </c>
      <c r="C383" s="155" t="s">
        <v>133</v>
      </c>
      <c r="D383" s="156" t="s">
        <v>187</v>
      </c>
      <c r="E383" s="156" t="s">
        <v>164</v>
      </c>
      <c r="F383" s="157">
        <v>0</v>
      </c>
      <c r="G383" s="157">
        <v>0</v>
      </c>
      <c r="H383" s="156">
        <v>19.510000000000002</v>
      </c>
      <c r="I383" s="156">
        <v>0</v>
      </c>
      <c r="J383" s="156">
        <v>0</v>
      </c>
      <c r="K383" s="156">
        <v>0</v>
      </c>
      <c r="L383" s="156">
        <v>0</v>
      </c>
      <c r="M383" s="156">
        <v>0</v>
      </c>
      <c r="N383" s="156">
        <f>J383+K383+L383+M383</f>
        <v>0</v>
      </c>
      <c r="O383" s="156">
        <v>0</v>
      </c>
      <c r="P383" s="156">
        <v>0</v>
      </c>
      <c r="Q383" s="156">
        <v>0</v>
      </c>
      <c r="R383" s="156">
        <v>0</v>
      </c>
      <c r="S383" s="156">
        <v>0</v>
      </c>
      <c r="T383" s="156">
        <v>0</v>
      </c>
      <c r="U383" s="156">
        <v>0</v>
      </c>
      <c r="V383" s="156">
        <v>0</v>
      </c>
      <c r="W383" s="156">
        <v>0</v>
      </c>
      <c r="X383" s="156">
        <v>0</v>
      </c>
      <c r="Y383" s="156">
        <v>0</v>
      </c>
      <c r="Z383" s="156">
        <v>0</v>
      </c>
      <c r="AA383" s="156">
        <v>0</v>
      </c>
      <c r="AB383" s="156">
        <v>0</v>
      </c>
      <c r="AC383" s="156">
        <v>0</v>
      </c>
      <c r="AD383" s="156">
        <v>0</v>
      </c>
      <c r="AE383" s="156">
        <v>0</v>
      </c>
      <c r="AF383" s="156">
        <v>0</v>
      </c>
      <c r="AG383" s="156">
        <v>0</v>
      </c>
      <c r="AH383" s="156">
        <v>0</v>
      </c>
      <c r="AI383" s="156">
        <v>0</v>
      </c>
      <c r="AJ383" s="156">
        <v>0</v>
      </c>
      <c r="AK383" s="156">
        <v>0</v>
      </c>
      <c r="AL383" s="156">
        <v>0</v>
      </c>
      <c r="AM383" s="156">
        <v>0</v>
      </c>
      <c r="AN383" s="156">
        <v>0</v>
      </c>
      <c r="AO383" s="156">
        <v>0</v>
      </c>
      <c r="AP383" s="156">
        <v>0</v>
      </c>
      <c r="AQ383" s="156">
        <v>0</v>
      </c>
      <c r="AR383" s="156">
        <v>0</v>
      </c>
      <c r="AS383" s="156">
        <v>0</v>
      </c>
      <c r="AT383" s="156">
        <f>H383+I383+N383+O383+P383+Q383+T383+X383+Y383+Z383+AA383+AB383+AM383+AO383</f>
        <v>19.510000000000002</v>
      </c>
    </row>
    <row r="384" spans="1:46" ht="11.25" hidden="1" outlineLevel="3">
      <c r="A384" s="155" t="s">
        <v>152</v>
      </c>
      <c r="B384" s="155" t="s">
        <v>157</v>
      </c>
      <c r="C384" s="155" t="s">
        <v>133</v>
      </c>
      <c r="D384" s="156" t="s">
        <v>187</v>
      </c>
      <c r="E384" s="156" t="s">
        <v>164</v>
      </c>
      <c r="F384" s="157">
        <v>0</v>
      </c>
      <c r="G384" s="157">
        <v>11295</v>
      </c>
      <c r="H384" s="156">
        <v>1168.21</v>
      </c>
      <c r="I384" s="156">
        <v>0</v>
      </c>
      <c r="J384" s="156">
        <v>0</v>
      </c>
      <c r="K384" s="156">
        <v>1.31</v>
      </c>
      <c r="L384" s="156">
        <v>0</v>
      </c>
      <c r="M384" s="156">
        <v>0</v>
      </c>
      <c r="N384" s="156">
        <f>J384+K384+L384+M384</f>
        <v>1.31</v>
      </c>
      <c r="O384" s="156">
        <v>0</v>
      </c>
      <c r="P384" s="156">
        <v>0</v>
      </c>
      <c r="Q384" s="156">
        <v>0</v>
      </c>
      <c r="R384" s="156">
        <v>0</v>
      </c>
      <c r="S384" s="156">
        <v>0</v>
      </c>
      <c r="T384" s="156">
        <v>0</v>
      </c>
      <c r="U384" s="156">
        <v>0</v>
      </c>
      <c r="V384" s="156">
        <v>0</v>
      </c>
      <c r="W384" s="156">
        <v>0</v>
      </c>
      <c r="X384" s="156">
        <v>0</v>
      </c>
      <c r="Y384" s="156">
        <v>0</v>
      </c>
      <c r="Z384" s="156">
        <v>0</v>
      </c>
      <c r="AA384" s="156">
        <v>0</v>
      </c>
      <c r="AB384" s="156">
        <v>0</v>
      </c>
      <c r="AC384" s="156">
        <v>0</v>
      </c>
      <c r="AD384" s="156">
        <v>0</v>
      </c>
      <c r="AE384" s="156">
        <v>0</v>
      </c>
      <c r="AF384" s="156">
        <v>0</v>
      </c>
      <c r="AG384" s="156">
        <v>0</v>
      </c>
      <c r="AH384" s="156">
        <v>0</v>
      </c>
      <c r="AI384" s="156">
        <v>0</v>
      </c>
      <c r="AJ384" s="156">
        <v>0</v>
      </c>
      <c r="AK384" s="156">
        <v>0</v>
      </c>
      <c r="AL384" s="156">
        <v>0</v>
      </c>
      <c r="AM384" s="156">
        <v>-29.59</v>
      </c>
      <c r="AN384" s="156">
        <v>0</v>
      </c>
      <c r="AO384" s="156">
        <v>0</v>
      </c>
      <c r="AP384" s="156">
        <v>0</v>
      </c>
      <c r="AQ384" s="156">
        <v>0</v>
      </c>
      <c r="AR384" s="156">
        <v>0</v>
      </c>
      <c r="AS384" s="156">
        <v>0</v>
      </c>
      <c r="AT384" s="156">
        <f>H384+I384+N384+O384+P384+Q384+T384+X384+Y384+Z384+AA384+AB384+AM384+AO384</f>
        <v>1139.93</v>
      </c>
    </row>
    <row r="385" spans="1:46" ht="11.25" outlineLevel="2" collapsed="1">
      <c r="D385" s="156"/>
      <c r="E385" s="156" t="s">
        <v>223</v>
      </c>
      <c r="F385" s="157">
        <v>2</v>
      </c>
      <c r="G385" s="157">
        <f t="shared" ref="G385:AT385" si="67">SUBTOTAL(9,G383:G384)</f>
        <v>11295</v>
      </c>
      <c r="H385" s="156">
        <f t="shared" si="67"/>
        <v>1187.72</v>
      </c>
      <c r="I385" s="156">
        <f t="shared" si="67"/>
        <v>0</v>
      </c>
      <c r="J385" s="156">
        <f t="shared" si="67"/>
        <v>0</v>
      </c>
      <c r="K385" s="156">
        <f t="shared" si="67"/>
        <v>1.31</v>
      </c>
      <c r="L385" s="156">
        <f t="shared" si="67"/>
        <v>0</v>
      </c>
      <c r="M385" s="156">
        <f t="shared" si="67"/>
        <v>0</v>
      </c>
      <c r="N385" s="156">
        <f t="shared" si="67"/>
        <v>1.31</v>
      </c>
      <c r="O385" s="156">
        <f t="shared" si="67"/>
        <v>0</v>
      </c>
      <c r="P385" s="156">
        <f t="shared" si="67"/>
        <v>0</v>
      </c>
      <c r="Q385" s="156">
        <f t="shared" si="67"/>
        <v>0</v>
      </c>
      <c r="R385" s="156">
        <f t="shared" si="67"/>
        <v>0</v>
      </c>
      <c r="S385" s="156">
        <f t="shared" si="67"/>
        <v>0</v>
      </c>
      <c r="T385" s="156">
        <f t="shared" si="67"/>
        <v>0</v>
      </c>
      <c r="U385" s="156">
        <f t="shared" si="67"/>
        <v>0</v>
      </c>
      <c r="V385" s="156">
        <f t="shared" si="67"/>
        <v>0</v>
      </c>
      <c r="W385" s="156">
        <f t="shared" si="67"/>
        <v>0</v>
      </c>
      <c r="X385" s="156">
        <f t="shared" si="67"/>
        <v>0</v>
      </c>
      <c r="Y385" s="156">
        <f t="shared" si="67"/>
        <v>0</v>
      </c>
      <c r="Z385" s="156">
        <f t="shared" si="67"/>
        <v>0</v>
      </c>
      <c r="AA385" s="156">
        <f t="shared" si="67"/>
        <v>0</v>
      </c>
      <c r="AB385" s="156">
        <f t="shared" si="67"/>
        <v>0</v>
      </c>
      <c r="AC385" s="156">
        <f t="shared" si="67"/>
        <v>0</v>
      </c>
      <c r="AD385" s="156">
        <f t="shared" si="67"/>
        <v>0</v>
      </c>
      <c r="AE385" s="156">
        <f t="shared" si="67"/>
        <v>0</v>
      </c>
      <c r="AF385" s="156">
        <f t="shared" si="67"/>
        <v>0</v>
      </c>
      <c r="AG385" s="156">
        <f t="shared" si="67"/>
        <v>0</v>
      </c>
      <c r="AH385" s="156">
        <f t="shared" si="67"/>
        <v>0</v>
      </c>
      <c r="AI385" s="156">
        <f t="shared" si="67"/>
        <v>0</v>
      </c>
      <c r="AJ385" s="156">
        <f t="shared" si="67"/>
        <v>0</v>
      </c>
      <c r="AK385" s="156">
        <f t="shared" si="67"/>
        <v>0</v>
      </c>
      <c r="AL385" s="156">
        <f t="shared" si="67"/>
        <v>0</v>
      </c>
      <c r="AM385" s="156">
        <f t="shared" si="67"/>
        <v>-29.59</v>
      </c>
      <c r="AN385" s="156">
        <f t="shared" si="67"/>
        <v>0</v>
      </c>
      <c r="AO385" s="156">
        <f t="shared" si="67"/>
        <v>0</v>
      </c>
      <c r="AP385" s="156">
        <f t="shared" si="67"/>
        <v>0</v>
      </c>
      <c r="AQ385" s="156">
        <f t="shared" si="67"/>
        <v>0</v>
      </c>
      <c r="AR385" s="156">
        <f t="shared" si="67"/>
        <v>0</v>
      </c>
      <c r="AS385" s="156">
        <f t="shared" si="67"/>
        <v>0</v>
      </c>
      <c r="AT385" s="156">
        <f t="shared" si="67"/>
        <v>1159.44</v>
      </c>
    </row>
    <row r="386" spans="1:46" ht="11.25" hidden="1" outlineLevel="3">
      <c r="A386" s="155" t="s">
        <v>131</v>
      </c>
      <c r="B386" s="155" t="s">
        <v>132</v>
      </c>
      <c r="C386" s="155" t="s">
        <v>135</v>
      </c>
      <c r="D386" s="156" t="s">
        <v>187</v>
      </c>
      <c r="E386" s="156" t="s">
        <v>136</v>
      </c>
      <c r="F386" s="157">
        <v>0</v>
      </c>
      <c r="G386" s="157">
        <v>711</v>
      </c>
      <c r="H386" s="156">
        <v>93.93</v>
      </c>
      <c r="I386" s="156">
        <v>0</v>
      </c>
      <c r="J386" s="156">
        <v>0</v>
      </c>
      <c r="K386" s="156">
        <v>0</v>
      </c>
      <c r="L386" s="156">
        <v>20.73</v>
      </c>
      <c r="M386" s="156">
        <v>0</v>
      </c>
      <c r="N386" s="156">
        <f t="shared" ref="N386:N397" si="68">J386+K386+L386+M386</f>
        <v>20.73</v>
      </c>
      <c r="O386" s="156">
        <v>1.04</v>
      </c>
      <c r="P386" s="156">
        <v>1.52</v>
      </c>
      <c r="Q386" s="156">
        <v>0</v>
      </c>
      <c r="R386" s="156">
        <v>0</v>
      </c>
      <c r="S386" s="156">
        <v>0</v>
      </c>
      <c r="T386" s="156">
        <v>0</v>
      </c>
      <c r="U386" s="156">
        <v>0</v>
      </c>
      <c r="V386" s="156">
        <v>0</v>
      </c>
      <c r="W386" s="156">
        <v>0</v>
      </c>
      <c r="X386" s="156">
        <v>0</v>
      </c>
      <c r="Y386" s="156">
        <v>1.41</v>
      </c>
      <c r="Z386" s="156">
        <v>0</v>
      </c>
      <c r="AA386" s="156">
        <v>0</v>
      </c>
      <c r="AB386" s="156">
        <v>0</v>
      </c>
      <c r="AC386" s="156">
        <v>0</v>
      </c>
      <c r="AD386" s="156">
        <v>0</v>
      </c>
      <c r="AE386" s="156">
        <v>0</v>
      </c>
      <c r="AF386" s="156">
        <v>0</v>
      </c>
      <c r="AG386" s="156">
        <v>0</v>
      </c>
      <c r="AH386" s="156">
        <v>0</v>
      </c>
      <c r="AI386" s="156">
        <v>0</v>
      </c>
      <c r="AJ386" s="156">
        <v>0</v>
      </c>
      <c r="AK386" s="156">
        <v>0</v>
      </c>
      <c r="AL386" s="156">
        <v>8.7899999999999991</v>
      </c>
      <c r="AM386" s="156">
        <v>-20.100000000000001</v>
      </c>
      <c r="AN386" s="156">
        <v>0</v>
      </c>
      <c r="AO386" s="156">
        <v>0</v>
      </c>
      <c r="AP386" s="156">
        <v>0</v>
      </c>
      <c r="AQ386" s="156">
        <v>0</v>
      </c>
      <c r="AR386" s="156">
        <v>0</v>
      </c>
      <c r="AS386" s="156">
        <v>0</v>
      </c>
      <c r="AT386" s="156">
        <f t="shared" ref="AT386:AT397" si="69">H386+I386+N386+O386+P386+Q386+T386+X386+Y386+Z386+AA386+AB386+AM386+AO386</f>
        <v>98.53</v>
      </c>
    </row>
    <row r="387" spans="1:46" ht="11.25" hidden="1" outlineLevel="3">
      <c r="A387" s="155" t="s">
        <v>145</v>
      </c>
      <c r="B387" s="155" t="s">
        <v>146</v>
      </c>
      <c r="C387" s="155" t="s">
        <v>135</v>
      </c>
      <c r="D387" s="156" t="s">
        <v>187</v>
      </c>
      <c r="E387" s="156" t="s">
        <v>136</v>
      </c>
      <c r="F387" s="157">
        <v>0</v>
      </c>
      <c r="G387" s="157">
        <v>487</v>
      </c>
      <c r="H387" s="156">
        <v>84.52</v>
      </c>
      <c r="I387" s="156">
        <v>0</v>
      </c>
      <c r="J387" s="156">
        <v>0</v>
      </c>
      <c r="K387" s="156">
        <v>0</v>
      </c>
      <c r="L387" s="156">
        <v>0</v>
      </c>
      <c r="M387" s="156">
        <v>14.36</v>
      </c>
      <c r="N387" s="156">
        <f t="shared" si="68"/>
        <v>14.36</v>
      </c>
      <c r="O387" s="156">
        <v>0</v>
      </c>
      <c r="P387" s="156">
        <v>0</v>
      </c>
      <c r="Q387" s="156">
        <v>0.65</v>
      </c>
      <c r="R387" s="156">
        <v>0</v>
      </c>
      <c r="S387" s="156">
        <v>0</v>
      </c>
      <c r="T387" s="156">
        <v>0</v>
      </c>
      <c r="U387" s="156">
        <v>0</v>
      </c>
      <c r="V387" s="156">
        <v>0</v>
      </c>
      <c r="W387" s="156">
        <v>0</v>
      </c>
      <c r="X387" s="156">
        <v>0</v>
      </c>
      <c r="Y387" s="156">
        <v>0</v>
      </c>
      <c r="Z387" s="156">
        <v>0</v>
      </c>
      <c r="AA387" s="156">
        <v>0</v>
      </c>
      <c r="AB387" s="156">
        <v>0</v>
      </c>
      <c r="AC387" s="156">
        <v>0</v>
      </c>
      <c r="AD387" s="156">
        <v>0</v>
      </c>
      <c r="AE387" s="156">
        <v>0</v>
      </c>
      <c r="AF387" s="156">
        <v>0</v>
      </c>
      <c r="AG387" s="156">
        <v>0</v>
      </c>
      <c r="AH387" s="156">
        <v>0</v>
      </c>
      <c r="AI387" s="156">
        <v>0</v>
      </c>
      <c r="AJ387" s="156">
        <v>0</v>
      </c>
      <c r="AK387" s="156">
        <v>0</v>
      </c>
      <c r="AL387" s="156">
        <v>0</v>
      </c>
      <c r="AM387" s="156">
        <v>0</v>
      </c>
      <c r="AN387" s="156">
        <v>0</v>
      </c>
      <c r="AO387" s="156">
        <v>0.96</v>
      </c>
      <c r="AP387" s="156">
        <v>0</v>
      </c>
      <c r="AQ387" s="156">
        <v>0</v>
      </c>
      <c r="AR387" s="156">
        <v>0</v>
      </c>
      <c r="AS387" s="156">
        <v>0</v>
      </c>
      <c r="AT387" s="156">
        <f t="shared" si="69"/>
        <v>100.49</v>
      </c>
    </row>
    <row r="388" spans="1:46" ht="11.25" hidden="1" outlineLevel="3">
      <c r="A388" s="155" t="s">
        <v>145</v>
      </c>
      <c r="B388" s="155" t="s">
        <v>147</v>
      </c>
      <c r="C388" s="155" t="s">
        <v>135</v>
      </c>
      <c r="D388" s="156" t="s">
        <v>187</v>
      </c>
      <c r="E388" s="156" t="s">
        <v>136</v>
      </c>
      <c r="F388" s="157">
        <v>0</v>
      </c>
      <c r="G388" s="157">
        <v>290</v>
      </c>
      <c r="H388" s="156">
        <v>87.1</v>
      </c>
      <c r="I388" s="156">
        <v>0</v>
      </c>
      <c r="J388" s="156">
        <v>0</v>
      </c>
      <c r="K388" s="156">
        <v>0</v>
      </c>
      <c r="L388" s="156">
        <v>0</v>
      </c>
      <c r="M388" s="156">
        <v>8.4700000000000006</v>
      </c>
      <c r="N388" s="156">
        <f t="shared" si="68"/>
        <v>8.4700000000000006</v>
      </c>
      <c r="O388" s="156">
        <v>0</v>
      </c>
      <c r="P388" s="156">
        <v>0</v>
      </c>
      <c r="Q388" s="156">
        <v>0.38</v>
      </c>
      <c r="R388" s="156">
        <v>0</v>
      </c>
      <c r="S388" s="156">
        <v>0</v>
      </c>
      <c r="T388" s="156">
        <v>0</v>
      </c>
      <c r="U388" s="156">
        <v>0</v>
      </c>
      <c r="V388" s="156">
        <v>0</v>
      </c>
      <c r="W388" s="156">
        <v>0</v>
      </c>
      <c r="X388" s="156">
        <v>0</v>
      </c>
      <c r="Y388" s="156">
        <v>0</v>
      </c>
      <c r="Z388" s="156">
        <v>0</v>
      </c>
      <c r="AA388" s="156">
        <v>0</v>
      </c>
      <c r="AB388" s="156">
        <v>0</v>
      </c>
      <c r="AC388" s="156">
        <v>0</v>
      </c>
      <c r="AD388" s="156">
        <v>0</v>
      </c>
      <c r="AE388" s="156">
        <v>0</v>
      </c>
      <c r="AF388" s="156">
        <v>0</v>
      </c>
      <c r="AG388" s="156">
        <v>0</v>
      </c>
      <c r="AH388" s="156">
        <v>0</v>
      </c>
      <c r="AI388" s="156">
        <v>0</v>
      </c>
      <c r="AJ388" s="156">
        <v>0</v>
      </c>
      <c r="AK388" s="156">
        <v>0</v>
      </c>
      <c r="AL388" s="156">
        <v>0</v>
      </c>
      <c r="AM388" s="156">
        <v>0</v>
      </c>
      <c r="AN388" s="156">
        <v>0</v>
      </c>
      <c r="AO388" s="156">
        <v>0.56999999999999995</v>
      </c>
      <c r="AP388" s="156">
        <v>0</v>
      </c>
      <c r="AQ388" s="156">
        <v>0</v>
      </c>
      <c r="AR388" s="156">
        <v>0</v>
      </c>
      <c r="AS388" s="156">
        <v>0</v>
      </c>
      <c r="AT388" s="156">
        <f t="shared" si="69"/>
        <v>96.519999999999982</v>
      </c>
    </row>
    <row r="389" spans="1:46" ht="11.25" hidden="1" outlineLevel="3">
      <c r="A389" s="155" t="s">
        <v>152</v>
      </c>
      <c r="B389" s="155" t="s">
        <v>153</v>
      </c>
      <c r="C389" s="155" t="s">
        <v>135</v>
      </c>
      <c r="D389" s="156" t="s">
        <v>187</v>
      </c>
      <c r="E389" s="156" t="s">
        <v>136</v>
      </c>
      <c r="F389" s="157">
        <v>0</v>
      </c>
      <c r="G389" s="157">
        <v>174</v>
      </c>
      <c r="H389" s="156">
        <v>68.19</v>
      </c>
      <c r="I389" s="156">
        <v>0</v>
      </c>
      <c r="J389" s="156">
        <v>0</v>
      </c>
      <c r="K389" s="156">
        <v>-0.03</v>
      </c>
      <c r="L389" s="156">
        <v>0</v>
      </c>
      <c r="M389" s="156">
        <v>0</v>
      </c>
      <c r="N389" s="156">
        <f t="shared" si="68"/>
        <v>-0.03</v>
      </c>
      <c r="O389" s="156">
        <v>0</v>
      </c>
      <c r="P389" s="156">
        <v>0</v>
      </c>
      <c r="Q389" s="156">
        <v>0</v>
      </c>
      <c r="R389" s="156">
        <v>0</v>
      </c>
      <c r="S389" s="156">
        <v>0</v>
      </c>
      <c r="T389" s="156">
        <v>0</v>
      </c>
      <c r="U389" s="156">
        <v>0</v>
      </c>
      <c r="V389" s="156">
        <v>0</v>
      </c>
      <c r="W389" s="156">
        <v>0</v>
      </c>
      <c r="X389" s="156">
        <v>0</v>
      </c>
      <c r="Y389" s="156">
        <v>0</v>
      </c>
      <c r="Z389" s="156">
        <v>0</v>
      </c>
      <c r="AA389" s="156">
        <v>0</v>
      </c>
      <c r="AB389" s="156">
        <v>0</v>
      </c>
      <c r="AC389" s="156">
        <v>0</v>
      </c>
      <c r="AD389" s="156">
        <v>0</v>
      </c>
      <c r="AE389" s="156">
        <v>0</v>
      </c>
      <c r="AF389" s="156">
        <v>0</v>
      </c>
      <c r="AG389" s="156">
        <v>0</v>
      </c>
      <c r="AH389" s="156">
        <v>0</v>
      </c>
      <c r="AI389" s="156">
        <v>0</v>
      </c>
      <c r="AJ389" s="156">
        <v>0</v>
      </c>
      <c r="AK389" s="156">
        <v>0</v>
      </c>
      <c r="AL389" s="156">
        <v>0</v>
      </c>
      <c r="AM389" s="156">
        <v>-1.92</v>
      </c>
      <c r="AN389" s="156">
        <v>0</v>
      </c>
      <c r="AO389" s="156">
        <v>0</v>
      </c>
      <c r="AP389" s="156">
        <v>0</v>
      </c>
      <c r="AQ389" s="156">
        <v>0</v>
      </c>
      <c r="AR389" s="156">
        <v>0</v>
      </c>
      <c r="AS389" s="156">
        <v>0</v>
      </c>
      <c r="AT389" s="156">
        <f t="shared" si="69"/>
        <v>66.239999999999995</v>
      </c>
    </row>
    <row r="390" spans="1:46" ht="11.25" hidden="1" outlineLevel="3">
      <c r="A390" s="155" t="s">
        <v>152</v>
      </c>
      <c r="B390" s="155" t="s">
        <v>154</v>
      </c>
      <c r="C390" s="155" t="s">
        <v>135</v>
      </c>
      <c r="D390" s="156" t="s">
        <v>187</v>
      </c>
      <c r="E390" s="156" t="s">
        <v>136</v>
      </c>
      <c r="F390" s="157">
        <v>0</v>
      </c>
      <c r="G390" s="157">
        <v>249</v>
      </c>
      <c r="H390" s="156">
        <v>86.66</v>
      </c>
      <c r="I390" s="156">
        <v>0</v>
      </c>
      <c r="J390" s="156">
        <v>0</v>
      </c>
      <c r="K390" s="156">
        <v>0.56999999999999995</v>
      </c>
      <c r="L390" s="156">
        <v>0</v>
      </c>
      <c r="M390" s="156">
        <v>0</v>
      </c>
      <c r="N390" s="156">
        <f t="shared" si="68"/>
        <v>0.56999999999999995</v>
      </c>
      <c r="O390" s="156">
        <v>0</v>
      </c>
      <c r="P390" s="156">
        <v>0</v>
      </c>
      <c r="Q390" s="156">
        <v>0</v>
      </c>
      <c r="R390" s="156">
        <v>0</v>
      </c>
      <c r="S390" s="156">
        <v>0</v>
      </c>
      <c r="T390" s="156">
        <v>0</v>
      </c>
      <c r="U390" s="156">
        <v>0</v>
      </c>
      <c r="V390" s="156">
        <v>0</v>
      </c>
      <c r="W390" s="156">
        <v>0</v>
      </c>
      <c r="X390" s="156">
        <v>0</v>
      </c>
      <c r="Y390" s="156">
        <v>0</v>
      </c>
      <c r="Z390" s="156">
        <v>0</v>
      </c>
      <c r="AA390" s="156">
        <v>0</v>
      </c>
      <c r="AB390" s="156">
        <v>0</v>
      </c>
      <c r="AC390" s="156">
        <v>0</v>
      </c>
      <c r="AD390" s="156">
        <v>0</v>
      </c>
      <c r="AE390" s="156">
        <v>0</v>
      </c>
      <c r="AF390" s="156">
        <v>0</v>
      </c>
      <c r="AG390" s="156">
        <v>0</v>
      </c>
      <c r="AH390" s="156">
        <v>0</v>
      </c>
      <c r="AI390" s="156">
        <v>0</v>
      </c>
      <c r="AJ390" s="156">
        <v>0</v>
      </c>
      <c r="AK390" s="156">
        <v>0</v>
      </c>
      <c r="AL390" s="156">
        <v>0</v>
      </c>
      <c r="AM390" s="156">
        <v>-2.73</v>
      </c>
      <c r="AN390" s="156">
        <v>0</v>
      </c>
      <c r="AO390" s="156">
        <v>0</v>
      </c>
      <c r="AP390" s="156">
        <v>0</v>
      </c>
      <c r="AQ390" s="156">
        <v>0</v>
      </c>
      <c r="AR390" s="156">
        <v>0</v>
      </c>
      <c r="AS390" s="156">
        <v>0</v>
      </c>
      <c r="AT390" s="156">
        <f t="shared" si="69"/>
        <v>84.499999999999986</v>
      </c>
    </row>
    <row r="391" spans="1:46" ht="11.25" hidden="1" outlineLevel="3">
      <c r="A391" s="155" t="s">
        <v>152</v>
      </c>
      <c r="B391" s="155" t="s">
        <v>155</v>
      </c>
      <c r="C391" s="155" t="s">
        <v>135</v>
      </c>
      <c r="D391" s="156" t="s">
        <v>187</v>
      </c>
      <c r="E391" s="156" t="s">
        <v>136</v>
      </c>
      <c r="F391" s="157">
        <v>0</v>
      </c>
      <c r="G391" s="157">
        <v>386</v>
      </c>
      <c r="H391" s="156">
        <v>144.06</v>
      </c>
      <c r="I391" s="156">
        <v>0</v>
      </c>
      <c r="J391" s="156">
        <v>0</v>
      </c>
      <c r="K391" s="156">
        <v>0.23</v>
      </c>
      <c r="L391" s="156">
        <v>0</v>
      </c>
      <c r="M391" s="156">
        <v>0</v>
      </c>
      <c r="N391" s="156">
        <f t="shared" si="68"/>
        <v>0.23</v>
      </c>
      <c r="O391" s="156">
        <v>0</v>
      </c>
      <c r="P391" s="156">
        <v>0</v>
      </c>
      <c r="Q391" s="156">
        <v>0</v>
      </c>
      <c r="R391" s="156">
        <v>0</v>
      </c>
      <c r="S391" s="156">
        <v>0</v>
      </c>
      <c r="T391" s="156">
        <v>0</v>
      </c>
      <c r="U391" s="156">
        <v>0</v>
      </c>
      <c r="V391" s="156">
        <v>0</v>
      </c>
      <c r="W391" s="156">
        <v>0</v>
      </c>
      <c r="X391" s="156">
        <v>0</v>
      </c>
      <c r="Y391" s="156">
        <v>0</v>
      </c>
      <c r="Z391" s="156">
        <v>0</v>
      </c>
      <c r="AA391" s="156">
        <v>0</v>
      </c>
      <c r="AB391" s="156">
        <v>0</v>
      </c>
      <c r="AC391" s="156">
        <v>0</v>
      </c>
      <c r="AD391" s="156">
        <v>0</v>
      </c>
      <c r="AE391" s="156">
        <v>0</v>
      </c>
      <c r="AF391" s="156">
        <v>0</v>
      </c>
      <c r="AG391" s="156">
        <v>0</v>
      </c>
      <c r="AH391" s="156">
        <v>0</v>
      </c>
      <c r="AI391" s="156">
        <v>0</v>
      </c>
      <c r="AJ391" s="156">
        <v>0</v>
      </c>
      <c r="AK391" s="156">
        <v>0</v>
      </c>
      <c r="AL391" s="156">
        <v>0</v>
      </c>
      <c r="AM391" s="156">
        <v>-4.24</v>
      </c>
      <c r="AN391" s="156">
        <v>0</v>
      </c>
      <c r="AO391" s="156">
        <v>0</v>
      </c>
      <c r="AP391" s="156">
        <v>0</v>
      </c>
      <c r="AQ391" s="156">
        <v>0</v>
      </c>
      <c r="AR391" s="156">
        <v>0</v>
      </c>
      <c r="AS391" s="156">
        <v>0</v>
      </c>
      <c r="AT391" s="156">
        <f t="shared" si="69"/>
        <v>140.04999999999998</v>
      </c>
    </row>
    <row r="392" spans="1:46" ht="11.25" hidden="1" outlineLevel="3">
      <c r="A392" s="155" t="s">
        <v>152</v>
      </c>
      <c r="B392" s="155" t="s">
        <v>157</v>
      </c>
      <c r="C392" s="155" t="s">
        <v>135</v>
      </c>
      <c r="D392" s="156" t="s">
        <v>187</v>
      </c>
      <c r="E392" s="156" t="s">
        <v>136</v>
      </c>
      <c r="F392" s="157">
        <v>0</v>
      </c>
      <c r="G392" s="157">
        <v>4396</v>
      </c>
      <c r="H392" s="156">
        <v>1009.78</v>
      </c>
      <c r="I392" s="156">
        <v>0</v>
      </c>
      <c r="J392" s="156">
        <v>0</v>
      </c>
      <c r="K392" s="156">
        <v>5.5</v>
      </c>
      <c r="L392" s="156">
        <v>0</v>
      </c>
      <c r="M392" s="156">
        <v>0</v>
      </c>
      <c r="N392" s="156">
        <f t="shared" si="68"/>
        <v>5.5</v>
      </c>
      <c r="O392" s="156">
        <v>0</v>
      </c>
      <c r="P392" s="156">
        <v>0</v>
      </c>
      <c r="Q392" s="156">
        <v>0</v>
      </c>
      <c r="R392" s="156">
        <v>0</v>
      </c>
      <c r="S392" s="156">
        <v>0</v>
      </c>
      <c r="T392" s="156">
        <v>0</v>
      </c>
      <c r="U392" s="156">
        <v>0</v>
      </c>
      <c r="V392" s="156">
        <v>0</v>
      </c>
      <c r="W392" s="156">
        <v>0</v>
      </c>
      <c r="X392" s="156">
        <v>0</v>
      </c>
      <c r="Y392" s="156">
        <v>0</v>
      </c>
      <c r="Z392" s="156">
        <v>0</v>
      </c>
      <c r="AA392" s="156">
        <v>0</v>
      </c>
      <c r="AB392" s="156">
        <v>0</v>
      </c>
      <c r="AC392" s="156">
        <v>0</v>
      </c>
      <c r="AD392" s="156">
        <v>0</v>
      </c>
      <c r="AE392" s="156">
        <v>0</v>
      </c>
      <c r="AF392" s="156">
        <v>0</v>
      </c>
      <c r="AG392" s="156">
        <v>0</v>
      </c>
      <c r="AH392" s="156">
        <v>0</v>
      </c>
      <c r="AI392" s="156">
        <v>0</v>
      </c>
      <c r="AJ392" s="156">
        <v>0</v>
      </c>
      <c r="AK392" s="156">
        <v>0</v>
      </c>
      <c r="AL392" s="156">
        <v>0</v>
      </c>
      <c r="AM392" s="156">
        <v>-48.27</v>
      </c>
      <c r="AN392" s="156">
        <v>0</v>
      </c>
      <c r="AO392" s="156">
        <v>0</v>
      </c>
      <c r="AP392" s="156">
        <v>0</v>
      </c>
      <c r="AQ392" s="156">
        <v>0</v>
      </c>
      <c r="AR392" s="156">
        <v>0</v>
      </c>
      <c r="AS392" s="156">
        <v>0</v>
      </c>
      <c r="AT392" s="156">
        <f t="shared" si="69"/>
        <v>967.01</v>
      </c>
    </row>
    <row r="393" spans="1:46" ht="11.25" hidden="1" outlineLevel="3">
      <c r="A393" s="155" t="s">
        <v>152</v>
      </c>
      <c r="B393" s="155" t="s">
        <v>137</v>
      </c>
      <c r="C393" s="155" t="s">
        <v>135</v>
      </c>
      <c r="D393" s="156" t="s">
        <v>187</v>
      </c>
      <c r="E393" s="156" t="s">
        <v>136</v>
      </c>
      <c r="F393" s="157">
        <v>0</v>
      </c>
      <c r="G393" s="157">
        <v>441</v>
      </c>
      <c r="H393" s="156">
        <v>151.81</v>
      </c>
      <c r="I393" s="156">
        <v>0</v>
      </c>
      <c r="J393" s="156">
        <v>0</v>
      </c>
      <c r="K393" s="156">
        <v>0.05</v>
      </c>
      <c r="L393" s="156">
        <v>0</v>
      </c>
      <c r="M393" s="156">
        <v>0</v>
      </c>
      <c r="N393" s="156">
        <f t="shared" si="68"/>
        <v>0.05</v>
      </c>
      <c r="O393" s="156">
        <v>0</v>
      </c>
      <c r="P393" s="156">
        <v>0</v>
      </c>
      <c r="Q393" s="156">
        <v>0</v>
      </c>
      <c r="R393" s="156">
        <v>0</v>
      </c>
      <c r="S393" s="156">
        <v>0</v>
      </c>
      <c r="T393" s="156">
        <v>0</v>
      </c>
      <c r="U393" s="156">
        <v>0</v>
      </c>
      <c r="V393" s="156">
        <v>0</v>
      </c>
      <c r="W393" s="156">
        <v>0</v>
      </c>
      <c r="X393" s="156">
        <v>0</v>
      </c>
      <c r="Y393" s="156">
        <v>0</v>
      </c>
      <c r="Z393" s="156">
        <v>0</v>
      </c>
      <c r="AA393" s="156">
        <v>0</v>
      </c>
      <c r="AB393" s="156">
        <v>0</v>
      </c>
      <c r="AC393" s="156">
        <v>0</v>
      </c>
      <c r="AD393" s="156">
        <v>0</v>
      </c>
      <c r="AE393" s="156">
        <v>0</v>
      </c>
      <c r="AF393" s="156">
        <v>0</v>
      </c>
      <c r="AG393" s="156">
        <v>0</v>
      </c>
      <c r="AH393" s="156">
        <v>0</v>
      </c>
      <c r="AI393" s="156">
        <v>0</v>
      </c>
      <c r="AJ393" s="156">
        <v>0</v>
      </c>
      <c r="AK393" s="156">
        <v>0</v>
      </c>
      <c r="AL393" s="156">
        <v>0</v>
      </c>
      <c r="AM393" s="156">
        <v>-4.84</v>
      </c>
      <c r="AN393" s="156">
        <v>0</v>
      </c>
      <c r="AO393" s="156">
        <v>0</v>
      </c>
      <c r="AP393" s="156">
        <v>0</v>
      </c>
      <c r="AQ393" s="156">
        <v>0</v>
      </c>
      <c r="AR393" s="156">
        <v>0</v>
      </c>
      <c r="AS393" s="156">
        <v>0</v>
      </c>
      <c r="AT393" s="156">
        <f t="shared" si="69"/>
        <v>147.02000000000001</v>
      </c>
    </row>
    <row r="394" spans="1:46" ht="11.25" hidden="1" outlineLevel="3">
      <c r="A394" s="155" t="s">
        <v>152</v>
      </c>
      <c r="B394" s="155" t="s">
        <v>158</v>
      </c>
      <c r="C394" s="155" t="s">
        <v>135</v>
      </c>
      <c r="D394" s="156" t="s">
        <v>187</v>
      </c>
      <c r="E394" s="156" t="s">
        <v>136</v>
      </c>
      <c r="F394" s="157">
        <v>0</v>
      </c>
      <c r="G394" s="157">
        <v>671</v>
      </c>
      <c r="H394" s="156">
        <v>194.2</v>
      </c>
      <c r="I394" s="156">
        <v>0</v>
      </c>
      <c r="J394" s="156">
        <v>0</v>
      </c>
      <c r="K394" s="156">
        <v>0.01</v>
      </c>
      <c r="L394" s="156">
        <v>0</v>
      </c>
      <c r="M394" s="156">
        <v>0</v>
      </c>
      <c r="N394" s="156">
        <f t="shared" si="68"/>
        <v>0.01</v>
      </c>
      <c r="O394" s="156">
        <v>0</v>
      </c>
      <c r="P394" s="156">
        <v>0</v>
      </c>
      <c r="Q394" s="156">
        <v>0</v>
      </c>
      <c r="R394" s="156">
        <v>0</v>
      </c>
      <c r="S394" s="156">
        <v>0</v>
      </c>
      <c r="T394" s="156">
        <v>0</v>
      </c>
      <c r="U394" s="156">
        <v>0</v>
      </c>
      <c r="V394" s="156">
        <v>0</v>
      </c>
      <c r="W394" s="156">
        <v>0</v>
      </c>
      <c r="X394" s="156">
        <v>0</v>
      </c>
      <c r="Y394" s="156">
        <v>0</v>
      </c>
      <c r="Z394" s="156">
        <v>0</v>
      </c>
      <c r="AA394" s="156">
        <v>0</v>
      </c>
      <c r="AB394" s="156">
        <v>0</v>
      </c>
      <c r="AC394" s="156">
        <v>0</v>
      </c>
      <c r="AD394" s="156">
        <v>0</v>
      </c>
      <c r="AE394" s="156">
        <v>0</v>
      </c>
      <c r="AF394" s="156">
        <v>0</v>
      </c>
      <c r="AG394" s="156">
        <v>0</v>
      </c>
      <c r="AH394" s="156">
        <v>0</v>
      </c>
      <c r="AI394" s="156">
        <v>0</v>
      </c>
      <c r="AJ394" s="156">
        <v>0</v>
      </c>
      <c r="AK394" s="156">
        <v>0</v>
      </c>
      <c r="AL394" s="156">
        <v>0</v>
      </c>
      <c r="AM394" s="156">
        <v>-7.37</v>
      </c>
      <c r="AN394" s="156">
        <v>0</v>
      </c>
      <c r="AO394" s="156">
        <v>0</v>
      </c>
      <c r="AP394" s="156">
        <v>0</v>
      </c>
      <c r="AQ394" s="156">
        <v>0</v>
      </c>
      <c r="AR394" s="156">
        <v>0</v>
      </c>
      <c r="AS394" s="156">
        <v>0</v>
      </c>
      <c r="AT394" s="156">
        <f t="shared" si="69"/>
        <v>186.83999999999997</v>
      </c>
    </row>
    <row r="395" spans="1:46" ht="11.25" hidden="1" outlineLevel="3">
      <c r="A395" s="155" t="s">
        <v>152</v>
      </c>
      <c r="B395" s="155" t="s">
        <v>159</v>
      </c>
      <c r="C395" s="155" t="s">
        <v>135</v>
      </c>
      <c r="D395" s="156" t="s">
        <v>187</v>
      </c>
      <c r="E395" s="156" t="s">
        <v>136</v>
      </c>
      <c r="F395" s="157">
        <v>0</v>
      </c>
      <c r="G395" s="157">
        <v>431</v>
      </c>
      <c r="H395" s="156">
        <v>82.03</v>
      </c>
      <c r="I395" s="156">
        <v>0</v>
      </c>
      <c r="J395" s="156">
        <v>0</v>
      </c>
      <c r="K395" s="156">
        <v>1.1599999999999999</v>
      </c>
      <c r="L395" s="156">
        <v>0</v>
      </c>
      <c r="M395" s="156">
        <v>0</v>
      </c>
      <c r="N395" s="156">
        <f t="shared" si="68"/>
        <v>1.1599999999999999</v>
      </c>
      <c r="O395" s="156">
        <v>0</v>
      </c>
      <c r="P395" s="156">
        <v>0</v>
      </c>
      <c r="Q395" s="156">
        <v>0</v>
      </c>
      <c r="R395" s="156">
        <v>0</v>
      </c>
      <c r="S395" s="156">
        <v>0</v>
      </c>
      <c r="T395" s="156">
        <v>0</v>
      </c>
      <c r="U395" s="156">
        <v>0</v>
      </c>
      <c r="V395" s="156">
        <v>0</v>
      </c>
      <c r="W395" s="156">
        <v>0</v>
      </c>
      <c r="X395" s="156">
        <v>0</v>
      </c>
      <c r="Y395" s="156">
        <v>0</v>
      </c>
      <c r="Z395" s="156">
        <v>0</v>
      </c>
      <c r="AA395" s="156">
        <v>0</v>
      </c>
      <c r="AB395" s="156">
        <v>0</v>
      </c>
      <c r="AC395" s="156">
        <v>0</v>
      </c>
      <c r="AD395" s="156">
        <v>0</v>
      </c>
      <c r="AE395" s="156">
        <v>0</v>
      </c>
      <c r="AF395" s="156">
        <v>0</v>
      </c>
      <c r="AG395" s="156">
        <v>0</v>
      </c>
      <c r="AH395" s="156">
        <v>0</v>
      </c>
      <c r="AI395" s="156">
        <v>0</v>
      </c>
      <c r="AJ395" s="156">
        <v>0</v>
      </c>
      <c r="AK395" s="156">
        <v>0</v>
      </c>
      <c r="AL395" s="156">
        <v>0</v>
      </c>
      <c r="AM395" s="156">
        <v>-4.74</v>
      </c>
      <c r="AN395" s="156">
        <v>0</v>
      </c>
      <c r="AO395" s="156">
        <v>0</v>
      </c>
      <c r="AP395" s="156">
        <v>0</v>
      </c>
      <c r="AQ395" s="156">
        <v>0</v>
      </c>
      <c r="AR395" s="156">
        <v>0</v>
      </c>
      <c r="AS395" s="156">
        <v>0</v>
      </c>
      <c r="AT395" s="156">
        <f t="shared" si="69"/>
        <v>78.45</v>
      </c>
    </row>
    <row r="396" spans="1:46" ht="11.25" hidden="1" outlineLevel="3">
      <c r="A396" s="155" t="s">
        <v>152</v>
      </c>
      <c r="B396" s="155" t="s">
        <v>160</v>
      </c>
      <c r="C396" s="155" t="s">
        <v>135</v>
      </c>
      <c r="D396" s="156" t="s">
        <v>187</v>
      </c>
      <c r="E396" s="156" t="s">
        <v>136</v>
      </c>
      <c r="F396" s="157">
        <v>0</v>
      </c>
      <c r="G396" s="157">
        <v>930</v>
      </c>
      <c r="H396" s="156">
        <v>345.44</v>
      </c>
      <c r="I396" s="156">
        <v>0</v>
      </c>
      <c r="J396" s="156">
        <v>0</v>
      </c>
      <c r="K396" s="156">
        <v>1.33</v>
      </c>
      <c r="L396" s="156">
        <v>0</v>
      </c>
      <c r="M396" s="156">
        <v>0</v>
      </c>
      <c r="N396" s="156">
        <f t="shared" si="68"/>
        <v>1.33</v>
      </c>
      <c r="O396" s="156">
        <v>0</v>
      </c>
      <c r="P396" s="156">
        <v>0</v>
      </c>
      <c r="Q396" s="156">
        <v>0</v>
      </c>
      <c r="R396" s="156">
        <v>0</v>
      </c>
      <c r="S396" s="156">
        <v>0</v>
      </c>
      <c r="T396" s="156">
        <v>0</v>
      </c>
      <c r="U396" s="156">
        <v>0</v>
      </c>
      <c r="V396" s="156">
        <v>0</v>
      </c>
      <c r="W396" s="156">
        <v>0</v>
      </c>
      <c r="X396" s="156">
        <v>0</v>
      </c>
      <c r="Y396" s="156">
        <v>0</v>
      </c>
      <c r="Z396" s="156">
        <v>0</v>
      </c>
      <c r="AA396" s="156">
        <v>0</v>
      </c>
      <c r="AB396" s="156">
        <v>0</v>
      </c>
      <c r="AC396" s="156">
        <v>0</v>
      </c>
      <c r="AD396" s="156">
        <v>0</v>
      </c>
      <c r="AE396" s="156">
        <v>0</v>
      </c>
      <c r="AF396" s="156">
        <v>0</v>
      </c>
      <c r="AG396" s="156">
        <v>0</v>
      </c>
      <c r="AH396" s="156">
        <v>0</v>
      </c>
      <c r="AI396" s="156">
        <v>0</v>
      </c>
      <c r="AJ396" s="156">
        <v>0</v>
      </c>
      <c r="AK396" s="156">
        <v>0</v>
      </c>
      <c r="AL396" s="156">
        <v>0</v>
      </c>
      <c r="AM396" s="156">
        <v>-10.210000000000001</v>
      </c>
      <c r="AN396" s="156">
        <v>0</v>
      </c>
      <c r="AO396" s="156">
        <v>0</v>
      </c>
      <c r="AP396" s="156">
        <v>0</v>
      </c>
      <c r="AQ396" s="156">
        <v>0</v>
      </c>
      <c r="AR396" s="156">
        <v>0</v>
      </c>
      <c r="AS396" s="156">
        <v>0</v>
      </c>
      <c r="AT396" s="156">
        <f t="shared" si="69"/>
        <v>336.56</v>
      </c>
    </row>
    <row r="397" spans="1:46" ht="11.25" hidden="1" outlineLevel="3">
      <c r="A397" s="155" t="s">
        <v>167</v>
      </c>
      <c r="B397" s="155" t="s">
        <v>146</v>
      </c>
      <c r="C397" s="155" t="s">
        <v>135</v>
      </c>
      <c r="D397" s="156" t="s">
        <v>187</v>
      </c>
      <c r="E397" s="156" t="s">
        <v>136</v>
      </c>
      <c r="F397" s="157">
        <v>0</v>
      </c>
      <c r="G397" s="157">
        <v>205</v>
      </c>
      <c r="H397" s="156">
        <v>52.8</v>
      </c>
      <c r="I397" s="156">
        <v>0</v>
      </c>
      <c r="J397" s="156">
        <v>5.62</v>
      </c>
      <c r="K397" s="156">
        <v>0</v>
      </c>
      <c r="L397" s="156">
        <v>0</v>
      </c>
      <c r="M397" s="156">
        <v>0</v>
      </c>
      <c r="N397" s="156">
        <f t="shared" si="68"/>
        <v>5.62</v>
      </c>
      <c r="O397" s="156">
        <v>0</v>
      </c>
      <c r="P397" s="156">
        <v>0</v>
      </c>
      <c r="Q397" s="156">
        <v>0</v>
      </c>
      <c r="R397" s="156">
        <v>0</v>
      </c>
      <c r="S397" s="156">
        <v>0</v>
      </c>
      <c r="T397" s="156">
        <v>0</v>
      </c>
      <c r="U397" s="156">
        <v>0</v>
      </c>
      <c r="V397" s="156">
        <v>0</v>
      </c>
      <c r="W397" s="156">
        <v>0</v>
      </c>
      <c r="X397" s="156">
        <v>0.03</v>
      </c>
      <c r="Y397" s="156">
        <v>0</v>
      </c>
      <c r="Z397" s="156">
        <v>0</v>
      </c>
      <c r="AA397" s="156">
        <v>0</v>
      </c>
      <c r="AB397" s="156">
        <v>0</v>
      </c>
      <c r="AC397" s="156">
        <v>0</v>
      </c>
      <c r="AD397" s="156">
        <v>0</v>
      </c>
      <c r="AE397" s="156">
        <v>0</v>
      </c>
      <c r="AF397" s="156">
        <v>0</v>
      </c>
      <c r="AG397" s="156">
        <v>0</v>
      </c>
      <c r="AH397" s="156">
        <v>0</v>
      </c>
      <c r="AI397" s="156">
        <v>0</v>
      </c>
      <c r="AJ397" s="156">
        <v>0</v>
      </c>
      <c r="AK397" s="156">
        <v>0</v>
      </c>
      <c r="AL397" s="156">
        <v>0</v>
      </c>
      <c r="AM397" s="156">
        <v>0</v>
      </c>
      <c r="AN397" s="156">
        <v>0</v>
      </c>
      <c r="AO397" s="156">
        <v>0</v>
      </c>
      <c r="AP397" s="156">
        <v>0</v>
      </c>
      <c r="AQ397" s="156">
        <v>0</v>
      </c>
      <c r="AR397" s="156">
        <v>0</v>
      </c>
      <c r="AS397" s="156">
        <v>0</v>
      </c>
      <c r="AT397" s="156">
        <f t="shared" si="69"/>
        <v>58.449999999999996</v>
      </c>
    </row>
    <row r="398" spans="1:46" ht="11.25" outlineLevel="2" collapsed="1">
      <c r="D398" s="156"/>
      <c r="E398" s="156" t="s">
        <v>213</v>
      </c>
      <c r="F398" s="157">
        <v>1</v>
      </c>
      <c r="G398" s="157">
        <f t="shared" ref="G398:AT398" si="70">SUBTOTAL(9,G386:G397)</f>
        <v>9371</v>
      </c>
      <c r="H398" s="156">
        <f t="shared" si="70"/>
        <v>2400.52</v>
      </c>
      <c r="I398" s="156">
        <f t="shared" si="70"/>
        <v>0</v>
      </c>
      <c r="J398" s="156">
        <f t="shared" si="70"/>
        <v>5.62</v>
      </c>
      <c r="K398" s="156">
        <f t="shared" si="70"/>
        <v>8.82</v>
      </c>
      <c r="L398" s="156">
        <f t="shared" si="70"/>
        <v>20.73</v>
      </c>
      <c r="M398" s="156">
        <f t="shared" si="70"/>
        <v>22.83</v>
      </c>
      <c r="N398" s="156">
        <f t="shared" si="70"/>
        <v>57.999999999999986</v>
      </c>
      <c r="O398" s="156">
        <f t="shared" si="70"/>
        <v>1.04</v>
      </c>
      <c r="P398" s="156">
        <f t="shared" si="70"/>
        <v>1.52</v>
      </c>
      <c r="Q398" s="156">
        <f t="shared" si="70"/>
        <v>1.03</v>
      </c>
      <c r="R398" s="156">
        <f t="shared" si="70"/>
        <v>0</v>
      </c>
      <c r="S398" s="156">
        <f t="shared" si="70"/>
        <v>0</v>
      </c>
      <c r="T398" s="156">
        <f t="shared" si="70"/>
        <v>0</v>
      </c>
      <c r="U398" s="156">
        <f t="shared" si="70"/>
        <v>0</v>
      </c>
      <c r="V398" s="156">
        <f t="shared" si="70"/>
        <v>0</v>
      </c>
      <c r="W398" s="156">
        <f t="shared" si="70"/>
        <v>0</v>
      </c>
      <c r="X398" s="156">
        <f t="shared" si="70"/>
        <v>0.03</v>
      </c>
      <c r="Y398" s="156">
        <f t="shared" si="70"/>
        <v>1.41</v>
      </c>
      <c r="Z398" s="156">
        <f t="shared" si="70"/>
        <v>0</v>
      </c>
      <c r="AA398" s="156">
        <f t="shared" si="70"/>
        <v>0</v>
      </c>
      <c r="AB398" s="156">
        <f t="shared" si="70"/>
        <v>0</v>
      </c>
      <c r="AC398" s="156">
        <f t="shared" si="70"/>
        <v>0</v>
      </c>
      <c r="AD398" s="156">
        <f t="shared" si="70"/>
        <v>0</v>
      </c>
      <c r="AE398" s="156">
        <f t="shared" si="70"/>
        <v>0</v>
      </c>
      <c r="AF398" s="156">
        <f t="shared" si="70"/>
        <v>0</v>
      </c>
      <c r="AG398" s="156">
        <f t="shared" si="70"/>
        <v>0</v>
      </c>
      <c r="AH398" s="156">
        <f t="shared" si="70"/>
        <v>0</v>
      </c>
      <c r="AI398" s="156">
        <f t="shared" si="70"/>
        <v>0</v>
      </c>
      <c r="AJ398" s="156">
        <f t="shared" si="70"/>
        <v>0</v>
      </c>
      <c r="AK398" s="156">
        <f t="shared" si="70"/>
        <v>0</v>
      </c>
      <c r="AL398" s="156">
        <f t="shared" si="70"/>
        <v>8.7899999999999991</v>
      </c>
      <c r="AM398" s="156">
        <f t="shared" si="70"/>
        <v>-104.42000000000002</v>
      </c>
      <c r="AN398" s="156">
        <f t="shared" si="70"/>
        <v>0</v>
      </c>
      <c r="AO398" s="156">
        <f t="shared" si="70"/>
        <v>1.5299999999999998</v>
      </c>
      <c r="AP398" s="156">
        <f t="shared" si="70"/>
        <v>0</v>
      </c>
      <c r="AQ398" s="156">
        <f t="shared" si="70"/>
        <v>0</v>
      </c>
      <c r="AR398" s="156">
        <f t="shared" si="70"/>
        <v>0</v>
      </c>
      <c r="AS398" s="156">
        <f t="shared" si="70"/>
        <v>0</v>
      </c>
      <c r="AT398" s="156">
        <f t="shared" si="70"/>
        <v>2360.66</v>
      </c>
    </row>
    <row r="399" spans="1:46" ht="11.25" hidden="1" outlineLevel="3">
      <c r="A399" s="155" t="s">
        <v>152</v>
      </c>
      <c r="B399" s="155" t="s">
        <v>155</v>
      </c>
      <c r="C399" s="155" t="s">
        <v>133</v>
      </c>
      <c r="D399" s="156" t="s">
        <v>187</v>
      </c>
      <c r="E399" s="156" t="s">
        <v>150</v>
      </c>
      <c r="F399" s="157">
        <v>0</v>
      </c>
      <c r="G399" s="157">
        <v>1050</v>
      </c>
      <c r="H399" s="156">
        <v>180.53</v>
      </c>
      <c r="I399" s="156">
        <v>0</v>
      </c>
      <c r="J399" s="156">
        <v>0</v>
      </c>
      <c r="K399" s="156">
        <v>1.66</v>
      </c>
      <c r="L399" s="156">
        <v>0</v>
      </c>
      <c r="M399" s="156">
        <v>0</v>
      </c>
      <c r="N399" s="156">
        <f>J399+K399+L399+M399</f>
        <v>1.66</v>
      </c>
      <c r="O399" s="156">
        <v>0</v>
      </c>
      <c r="P399" s="156">
        <v>0</v>
      </c>
      <c r="Q399" s="156">
        <v>0</v>
      </c>
      <c r="R399" s="156">
        <v>0</v>
      </c>
      <c r="S399" s="156">
        <v>0</v>
      </c>
      <c r="T399" s="156">
        <v>0</v>
      </c>
      <c r="U399" s="156">
        <v>0</v>
      </c>
      <c r="V399" s="156">
        <v>0</v>
      </c>
      <c r="W399" s="156">
        <v>0</v>
      </c>
      <c r="X399" s="156">
        <v>0</v>
      </c>
      <c r="Y399" s="156">
        <v>0</v>
      </c>
      <c r="Z399" s="156">
        <v>0.75</v>
      </c>
      <c r="AA399" s="156">
        <v>0</v>
      </c>
      <c r="AB399" s="156">
        <v>0</v>
      </c>
      <c r="AC399" s="156">
        <v>0</v>
      </c>
      <c r="AD399" s="156">
        <v>0</v>
      </c>
      <c r="AE399" s="156">
        <v>0</v>
      </c>
      <c r="AF399" s="156">
        <v>0</v>
      </c>
      <c r="AG399" s="156">
        <v>0</v>
      </c>
      <c r="AH399" s="156">
        <v>0</v>
      </c>
      <c r="AI399" s="156">
        <v>0</v>
      </c>
      <c r="AJ399" s="156">
        <v>0</v>
      </c>
      <c r="AK399" s="156">
        <v>0</v>
      </c>
      <c r="AL399" s="156">
        <v>0</v>
      </c>
      <c r="AM399" s="156">
        <v>-4.99</v>
      </c>
      <c r="AN399" s="156">
        <v>0</v>
      </c>
      <c r="AO399" s="156">
        <v>0</v>
      </c>
      <c r="AP399" s="156">
        <v>0</v>
      </c>
      <c r="AQ399" s="156">
        <v>0</v>
      </c>
      <c r="AR399" s="156">
        <v>0</v>
      </c>
      <c r="AS399" s="156">
        <v>0</v>
      </c>
      <c r="AT399" s="156">
        <f>H399+I399+N399+O399+P399+Q399+T399+X399+Y399+Z399+AA399+AB399+AM399+AO399</f>
        <v>177.95</v>
      </c>
    </row>
    <row r="400" spans="1:46" ht="11.25" outlineLevel="2" collapsed="1">
      <c r="D400" s="156"/>
      <c r="E400" s="156" t="s">
        <v>226</v>
      </c>
      <c r="F400" s="157">
        <v>2</v>
      </c>
      <c r="G400" s="157">
        <f t="shared" ref="G400:AT400" si="71">SUBTOTAL(9,G399:G399)</f>
        <v>1050</v>
      </c>
      <c r="H400" s="156">
        <f t="shared" si="71"/>
        <v>180.53</v>
      </c>
      <c r="I400" s="156">
        <f t="shared" si="71"/>
        <v>0</v>
      </c>
      <c r="J400" s="156">
        <f t="shared" si="71"/>
        <v>0</v>
      </c>
      <c r="K400" s="156">
        <f t="shared" si="71"/>
        <v>1.66</v>
      </c>
      <c r="L400" s="156">
        <f t="shared" si="71"/>
        <v>0</v>
      </c>
      <c r="M400" s="156">
        <f t="shared" si="71"/>
        <v>0</v>
      </c>
      <c r="N400" s="156">
        <f t="shared" si="71"/>
        <v>1.66</v>
      </c>
      <c r="O400" s="156">
        <f t="shared" si="71"/>
        <v>0</v>
      </c>
      <c r="P400" s="156">
        <f t="shared" si="71"/>
        <v>0</v>
      </c>
      <c r="Q400" s="156">
        <f t="shared" si="71"/>
        <v>0</v>
      </c>
      <c r="R400" s="156">
        <f t="shared" si="71"/>
        <v>0</v>
      </c>
      <c r="S400" s="156">
        <f t="shared" si="71"/>
        <v>0</v>
      </c>
      <c r="T400" s="156">
        <f t="shared" si="71"/>
        <v>0</v>
      </c>
      <c r="U400" s="156">
        <f t="shared" si="71"/>
        <v>0</v>
      </c>
      <c r="V400" s="156">
        <f t="shared" si="71"/>
        <v>0</v>
      </c>
      <c r="W400" s="156">
        <f t="shared" si="71"/>
        <v>0</v>
      </c>
      <c r="X400" s="156">
        <f t="shared" si="71"/>
        <v>0</v>
      </c>
      <c r="Y400" s="156">
        <f t="shared" si="71"/>
        <v>0</v>
      </c>
      <c r="Z400" s="156">
        <f t="shared" si="71"/>
        <v>0.75</v>
      </c>
      <c r="AA400" s="156">
        <f t="shared" si="71"/>
        <v>0</v>
      </c>
      <c r="AB400" s="156">
        <f t="shared" si="71"/>
        <v>0</v>
      </c>
      <c r="AC400" s="156">
        <f t="shared" si="71"/>
        <v>0</v>
      </c>
      <c r="AD400" s="156">
        <f t="shared" si="71"/>
        <v>0</v>
      </c>
      <c r="AE400" s="156">
        <f t="shared" si="71"/>
        <v>0</v>
      </c>
      <c r="AF400" s="156">
        <f t="shared" si="71"/>
        <v>0</v>
      </c>
      <c r="AG400" s="156">
        <f t="shared" si="71"/>
        <v>0</v>
      </c>
      <c r="AH400" s="156">
        <f t="shared" si="71"/>
        <v>0</v>
      </c>
      <c r="AI400" s="156">
        <f t="shared" si="71"/>
        <v>0</v>
      </c>
      <c r="AJ400" s="156">
        <f t="shared" si="71"/>
        <v>0</v>
      </c>
      <c r="AK400" s="156">
        <f t="shared" si="71"/>
        <v>0</v>
      </c>
      <c r="AL400" s="156">
        <f t="shared" si="71"/>
        <v>0</v>
      </c>
      <c r="AM400" s="156">
        <f t="shared" si="71"/>
        <v>-4.99</v>
      </c>
      <c r="AN400" s="156">
        <f t="shared" si="71"/>
        <v>0</v>
      </c>
      <c r="AO400" s="156">
        <f t="shared" si="71"/>
        <v>0</v>
      </c>
      <c r="AP400" s="156">
        <f t="shared" si="71"/>
        <v>0</v>
      </c>
      <c r="AQ400" s="156">
        <f t="shared" si="71"/>
        <v>0</v>
      </c>
      <c r="AR400" s="156">
        <f t="shared" si="71"/>
        <v>0</v>
      </c>
      <c r="AS400" s="156">
        <f t="shared" si="71"/>
        <v>0</v>
      </c>
      <c r="AT400" s="156">
        <f t="shared" si="71"/>
        <v>177.95</v>
      </c>
    </row>
    <row r="401" spans="1:46" ht="11.25" hidden="1" outlineLevel="3">
      <c r="A401" s="155" t="s">
        <v>131</v>
      </c>
      <c r="B401" s="155" t="s">
        <v>132</v>
      </c>
      <c r="C401" s="155" t="s">
        <v>135</v>
      </c>
      <c r="D401" s="156" t="s">
        <v>187</v>
      </c>
      <c r="E401" s="156" t="s">
        <v>143</v>
      </c>
      <c r="F401" s="157">
        <v>0</v>
      </c>
      <c r="G401" s="157">
        <v>68506</v>
      </c>
      <c r="H401" s="156">
        <v>2165.69</v>
      </c>
      <c r="I401" s="156">
        <v>0</v>
      </c>
      <c r="J401" s="156">
        <v>0</v>
      </c>
      <c r="K401" s="156">
        <v>0</v>
      </c>
      <c r="L401" s="156">
        <v>1997.65</v>
      </c>
      <c r="M401" s="156">
        <v>0</v>
      </c>
      <c r="N401" s="156">
        <f t="shared" ref="N401:N412" si="72">J401+K401+L401+M401</f>
        <v>1997.65</v>
      </c>
      <c r="O401" s="156">
        <v>98.66</v>
      </c>
      <c r="P401" s="156">
        <v>168.52</v>
      </c>
      <c r="Q401" s="156">
        <v>0</v>
      </c>
      <c r="R401" s="156">
        <v>0</v>
      </c>
      <c r="S401" s="156">
        <v>0</v>
      </c>
      <c r="T401" s="156">
        <v>1590.18</v>
      </c>
      <c r="U401" s="156">
        <v>0</v>
      </c>
      <c r="V401" s="156">
        <v>0</v>
      </c>
      <c r="W401" s="156">
        <v>0</v>
      </c>
      <c r="X401" s="156">
        <v>0</v>
      </c>
      <c r="Y401" s="156">
        <v>137.01</v>
      </c>
      <c r="Z401" s="156">
        <v>0</v>
      </c>
      <c r="AA401" s="156">
        <v>0</v>
      </c>
      <c r="AB401" s="156">
        <v>0</v>
      </c>
      <c r="AC401" s="156">
        <v>0</v>
      </c>
      <c r="AD401" s="156">
        <v>0</v>
      </c>
      <c r="AE401" s="156">
        <v>0</v>
      </c>
      <c r="AF401" s="156">
        <v>0</v>
      </c>
      <c r="AG401" s="156">
        <v>0</v>
      </c>
      <c r="AH401" s="156">
        <v>0</v>
      </c>
      <c r="AI401" s="156">
        <v>0</v>
      </c>
      <c r="AJ401" s="156">
        <v>0</v>
      </c>
      <c r="AK401" s="156">
        <v>0</v>
      </c>
      <c r="AL401" s="156">
        <v>376.6</v>
      </c>
      <c r="AM401" s="156">
        <v>-439</v>
      </c>
      <c r="AN401" s="156">
        <v>0</v>
      </c>
      <c r="AO401" s="156">
        <v>0</v>
      </c>
      <c r="AP401" s="156">
        <v>0</v>
      </c>
      <c r="AQ401" s="156">
        <v>0</v>
      </c>
      <c r="AR401" s="156">
        <v>0</v>
      </c>
      <c r="AS401" s="156">
        <v>0</v>
      </c>
      <c r="AT401" s="156">
        <f t="shared" ref="AT401:AT412" si="73">H401+I401+N401+O401+P401+Q401+T401+X401+Y401+Z401+AA401+AB401+AM401+AO401</f>
        <v>5718.7100000000009</v>
      </c>
    </row>
    <row r="402" spans="1:46" ht="11.25" hidden="1" outlineLevel="3">
      <c r="A402" s="155" t="s">
        <v>145</v>
      </c>
      <c r="B402" s="155" t="s">
        <v>146</v>
      </c>
      <c r="C402" s="155" t="s">
        <v>135</v>
      </c>
      <c r="D402" s="156" t="s">
        <v>187</v>
      </c>
      <c r="E402" s="156" t="s">
        <v>143</v>
      </c>
      <c r="F402" s="157">
        <v>0</v>
      </c>
      <c r="G402" s="157">
        <v>75854</v>
      </c>
      <c r="H402" s="156">
        <v>5143.37</v>
      </c>
      <c r="I402" s="156">
        <v>0</v>
      </c>
      <c r="J402" s="156">
        <v>0</v>
      </c>
      <c r="K402" s="156">
        <v>0</v>
      </c>
      <c r="L402" s="156">
        <v>0</v>
      </c>
      <c r="M402" s="156">
        <v>2377.27</v>
      </c>
      <c r="N402" s="156">
        <f t="shared" si="72"/>
        <v>2377.27</v>
      </c>
      <c r="O402" s="156">
        <v>0</v>
      </c>
      <c r="P402" s="156">
        <v>0</v>
      </c>
      <c r="Q402" s="156">
        <v>100.13</v>
      </c>
      <c r="R402" s="156">
        <v>0</v>
      </c>
      <c r="S402" s="156">
        <v>0</v>
      </c>
      <c r="T402" s="156">
        <v>2464.67</v>
      </c>
      <c r="U402" s="156">
        <v>0</v>
      </c>
      <c r="V402" s="156">
        <v>0</v>
      </c>
      <c r="W402" s="156">
        <v>0</v>
      </c>
      <c r="X402" s="156">
        <v>0</v>
      </c>
      <c r="Y402" s="156">
        <v>0</v>
      </c>
      <c r="Z402" s="156">
        <v>0</v>
      </c>
      <c r="AA402" s="156">
        <v>0</v>
      </c>
      <c r="AB402" s="156">
        <v>0</v>
      </c>
      <c r="AC402" s="156">
        <v>0</v>
      </c>
      <c r="AD402" s="156">
        <v>0</v>
      </c>
      <c r="AE402" s="156">
        <v>0</v>
      </c>
      <c r="AF402" s="156">
        <v>0</v>
      </c>
      <c r="AG402" s="156">
        <v>0</v>
      </c>
      <c r="AH402" s="156">
        <v>0</v>
      </c>
      <c r="AI402" s="156">
        <v>0</v>
      </c>
      <c r="AJ402" s="156">
        <v>0</v>
      </c>
      <c r="AK402" s="156">
        <v>0</v>
      </c>
      <c r="AL402" s="156">
        <v>0</v>
      </c>
      <c r="AM402" s="156">
        <v>0</v>
      </c>
      <c r="AN402" s="156">
        <v>0</v>
      </c>
      <c r="AO402" s="156">
        <v>185.84</v>
      </c>
      <c r="AP402" s="156">
        <v>0</v>
      </c>
      <c r="AQ402" s="156">
        <v>0</v>
      </c>
      <c r="AR402" s="156">
        <v>0</v>
      </c>
      <c r="AS402" s="156">
        <v>0</v>
      </c>
      <c r="AT402" s="156">
        <f t="shared" si="73"/>
        <v>10271.279999999999</v>
      </c>
    </row>
    <row r="403" spans="1:46" ht="11.25" hidden="1" outlineLevel="3">
      <c r="A403" s="155" t="s">
        <v>145</v>
      </c>
      <c r="B403" s="155" t="s">
        <v>147</v>
      </c>
      <c r="C403" s="155" t="s">
        <v>135</v>
      </c>
      <c r="D403" s="156" t="s">
        <v>187</v>
      </c>
      <c r="E403" s="156" t="s">
        <v>143</v>
      </c>
      <c r="F403" s="157">
        <v>0</v>
      </c>
      <c r="G403" s="157">
        <v>72032</v>
      </c>
      <c r="H403" s="156">
        <v>5035.96</v>
      </c>
      <c r="I403" s="156">
        <v>0</v>
      </c>
      <c r="J403" s="156">
        <v>0</v>
      </c>
      <c r="K403" s="156">
        <v>0</v>
      </c>
      <c r="L403" s="156">
        <v>0</v>
      </c>
      <c r="M403" s="156">
        <v>2257.4699999999998</v>
      </c>
      <c r="N403" s="156">
        <f t="shared" si="72"/>
        <v>2257.4699999999998</v>
      </c>
      <c r="O403" s="156">
        <v>0</v>
      </c>
      <c r="P403" s="156">
        <v>0</v>
      </c>
      <c r="Q403" s="156">
        <v>95.09</v>
      </c>
      <c r="R403" s="156">
        <v>0</v>
      </c>
      <c r="S403" s="156">
        <v>0</v>
      </c>
      <c r="T403" s="156">
        <v>1586.77</v>
      </c>
      <c r="U403" s="156">
        <v>0</v>
      </c>
      <c r="V403" s="156">
        <v>0</v>
      </c>
      <c r="W403" s="156">
        <v>0</v>
      </c>
      <c r="X403" s="156">
        <v>0</v>
      </c>
      <c r="Y403" s="156">
        <v>0</v>
      </c>
      <c r="Z403" s="156">
        <v>0</v>
      </c>
      <c r="AA403" s="156">
        <v>0</v>
      </c>
      <c r="AB403" s="156">
        <v>0</v>
      </c>
      <c r="AC403" s="156">
        <v>0</v>
      </c>
      <c r="AD403" s="156">
        <v>0</v>
      </c>
      <c r="AE403" s="156">
        <v>0</v>
      </c>
      <c r="AF403" s="156">
        <v>0</v>
      </c>
      <c r="AG403" s="156">
        <v>0</v>
      </c>
      <c r="AH403" s="156">
        <v>0</v>
      </c>
      <c r="AI403" s="156">
        <v>0</v>
      </c>
      <c r="AJ403" s="156">
        <v>0</v>
      </c>
      <c r="AK403" s="156">
        <v>0</v>
      </c>
      <c r="AL403" s="156">
        <v>0</v>
      </c>
      <c r="AM403" s="156">
        <v>0</v>
      </c>
      <c r="AN403" s="156">
        <v>0</v>
      </c>
      <c r="AO403" s="156">
        <v>176.47</v>
      </c>
      <c r="AP403" s="156">
        <v>0</v>
      </c>
      <c r="AQ403" s="156">
        <v>0</v>
      </c>
      <c r="AR403" s="156">
        <v>0</v>
      </c>
      <c r="AS403" s="156">
        <v>0</v>
      </c>
      <c r="AT403" s="156">
        <f t="shared" si="73"/>
        <v>9151.76</v>
      </c>
    </row>
    <row r="404" spans="1:46" ht="11.25" hidden="1" outlineLevel="3">
      <c r="A404" s="155" t="s">
        <v>152</v>
      </c>
      <c r="B404" s="155" t="s">
        <v>153</v>
      </c>
      <c r="C404" s="155" t="s">
        <v>135</v>
      </c>
      <c r="D404" s="156" t="s">
        <v>187</v>
      </c>
      <c r="E404" s="156" t="s">
        <v>143</v>
      </c>
      <c r="F404" s="157">
        <v>0</v>
      </c>
      <c r="G404" s="157">
        <v>135070</v>
      </c>
      <c r="H404" s="156">
        <v>13802.74</v>
      </c>
      <c r="I404" s="156">
        <v>0</v>
      </c>
      <c r="J404" s="156">
        <v>0</v>
      </c>
      <c r="K404" s="156">
        <v>474.1</v>
      </c>
      <c r="L404" s="156">
        <v>0</v>
      </c>
      <c r="M404" s="156">
        <v>0</v>
      </c>
      <c r="N404" s="156">
        <f t="shared" si="72"/>
        <v>474.1</v>
      </c>
      <c r="O404" s="156">
        <v>0</v>
      </c>
      <c r="P404" s="156">
        <v>0</v>
      </c>
      <c r="Q404" s="156">
        <v>0</v>
      </c>
      <c r="R404" s="156">
        <v>0</v>
      </c>
      <c r="S404" s="156">
        <v>0</v>
      </c>
      <c r="T404" s="156">
        <v>3064.92</v>
      </c>
      <c r="U404" s="156">
        <v>0</v>
      </c>
      <c r="V404" s="156">
        <v>0</v>
      </c>
      <c r="W404" s="156">
        <v>0</v>
      </c>
      <c r="X404" s="156">
        <v>0</v>
      </c>
      <c r="Y404" s="156">
        <v>0</v>
      </c>
      <c r="Z404" s="156">
        <v>0</v>
      </c>
      <c r="AA404" s="156">
        <v>0</v>
      </c>
      <c r="AB404" s="156">
        <v>0</v>
      </c>
      <c r="AC404" s="156">
        <v>0</v>
      </c>
      <c r="AD404" s="156">
        <v>0</v>
      </c>
      <c r="AE404" s="156">
        <v>0</v>
      </c>
      <c r="AF404" s="156">
        <v>0</v>
      </c>
      <c r="AG404" s="156">
        <v>0</v>
      </c>
      <c r="AH404" s="156">
        <v>0</v>
      </c>
      <c r="AI404" s="156">
        <v>0</v>
      </c>
      <c r="AJ404" s="156">
        <v>0</v>
      </c>
      <c r="AK404" s="156">
        <v>0</v>
      </c>
      <c r="AL404" s="156">
        <v>0</v>
      </c>
      <c r="AM404" s="156">
        <v>-807.7</v>
      </c>
      <c r="AN404" s="156">
        <v>0</v>
      </c>
      <c r="AO404" s="156">
        <v>0</v>
      </c>
      <c r="AP404" s="156">
        <v>0</v>
      </c>
      <c r="AQ404" s="156">
        <v>0</v>
      </c>
      <c r="AR404" s="156">
        <v>0</v>
      </c>
      <c r="AS404" s="156">
        <v>0</v>
      </c>
      <c r="AT404" s="156">
        <f t="shared" si="73"/>
        <v>16534.060000000001</v>
      </c>
    </row>
    <row r="405" spans="1:46" ht="11.25" hidden="1" outlineLevel="3">
      <c r="A405" s="155" t="s">
        <v>152</v>
      </c>
      <c r="B405" s="155" t="s">
        <v>154</v>
      </c>
      <c r="C405" s="155" t="s">
        <v>135</v>
      </c>
      <c r="D405" s="156" t="s">
        <v>187</v>
      </c>
      <c r="E405" s="156" t="s">
        <v>143</v>
      </c>
      <c r="F405" s="157">
        <v>0</v>
      </c>
      <c r="G405" s="157">
        <v>241156</v>
      </c>
      <c r="H405" s="156">
        <v>25839.02</v>
      </c>
      <c r="I405" s="156">
        <v>0</v>
      </c>
      <c r="J405" s="156">
        <v>0</v>
      </c>
      <c r="K405" s="156">
        <v>846.45</v>
      </c>
      <c r="L405" s="156">
        <v>0</v>
      </c>
      <c r="M405" s="156">
        <v>0</v>
      </c>
      <c r="N405" s="156">
        <f t="shared" si="72"/>
        <v>846.45</v>
      </c>
      <c r="O405" s="156">
        <v>0</v>
      </c>
      <c r="P405" s="156">
        <v>0</v>
      </c>
      <c r="Q405" s="156">
        <v>0</v>
      </c>
      <c r="R405" s="156">
        <v>0</v>
      </c>
      <c r="S405" s="156">
        <v>0</v>
      </c>
      <c r="T405" s="156">
        <v>6505.86</v>
      </c>
      <c r="U405" s="156">
        <v>0</v>
      </c>
      <c r="V405" s="156">
        <v>0</v>
      </c>
      <c r="W405" s="156">
        <v>0</v>
      </c>
      <c r="X405" s="156">
        <v>0</v>
      </c>
      <c r="Y405" s="156">
        <v>0</v>
      </c>
      <c r="Z405" s="156">
        <v>0</v>
      </c>
      <c r="AA405" s="156">
        <v>0</v>
      </c>
      <c r="AB405" s="156">
        <v>0</v>
      </c>
      <c r="AC405" s="156">
        <v>0</v>
      </c>
      <c r="AD405" s="156">
        <v>0</v>
      </c>
      <c r="AE405" s="156">
        <v>0</v>
      </c>
      <c r="AF405" s="156">
        <v>0</v>
      </c>
      <c r="AG405" s="156">
        <v>0</v>
      </c>
      <c r="AH405" s="156">
        <v>0</v>
      </c>
      <c r="AI405" s="156">
        <v>0</v>
      </c>
      <c r="AJ405" s="156">
        <v>0</v>
      </c>
      <c r="AK405" s="156">
        <v>0</v>
      </c>
      <c r="AL405" s="156">
        <v>0</v>
      </c>
      <c r="AM405" s="156">
        <v>-1442.12</v>
      </c>
      <c r="AN405" s="156">
        <v>0</v>
      </c>
      <c r="AO405" s="156">
        <v>0</v>
      </c>
      <c r="AP405" s="156">
        <v>0</v>
      </c>
      <c r="AQ405" s="156">
        <v>0</v>
      </c>
      <c r="AR405" s="156">
        <v>0</v>
      </c>
      <c r="AS405" s="156">
        <v>0</v>
      </c>
      <c r="AT405" s="156">
        <f t="shared" si="73"/>
        <v>31749.210000000003</v>
      </c>
    </row>
    <row r="406" spans="1:46" ht="11.25" hidden="1" outlineLevel="3">
      <c r="A406" s="155" t="s">
        <v>152</v>
      </c>
      <c r="B406" s="155" t="s">
        <v>155</v>
      </c>
      <c r="C406" s="155" t="s">
        <v>135</v>
      </c>
      <c r="D406" s="156" t="s">
        <v>187</v>
      </c>
      <c r="E406" s="156" t="s">
        <v>143</v>
      </c>
      <c r="F406" s="157">
        <v>0</v>
      </c>
      <c r="G406" s="157">
        <v>249861</v>
      </c>
      <c r="H406" s="156">
        <v>25644.61</v>
      </c>
      <c r="I406" s="156">
        <v>0</v>
      </c>
      <c r="J406" s="156">
        <v>0</v>
      </c>
      <c r="K406" s="156">
        <v>877.01</v>
      </c>
      <c r="L406" s="156">
        <v>0</v>
      </c>
      <c r="M406" s="156">
        <v>0</v>
      </c>
      <c r="N406" s="156">
        <f t="shared" si="72"/>
        <v>877.01</v>
      </c>
      <c r="O406" s="156">
        <v>0</v>
      </c>
      <c r="P406" s="156">
        <v>0</v>
      </c>
      <c r="Q406" s="156">
        <v>0</v>
      </c>
      <c r="R406" s="156">
        <v>0</v>
      </c>
      <c r="S406" s="156">
        <v>0</v>
      </c>
      <c r="T406" s="156">
        <v>19798.43</v>
      </c>
      <c r="U406" s="156">
        <v>0</v>
      </c>
      <c r="V406" s="156">
        <v>0</v>
      </c>
      <c r="W406" s="156">
        <v>0</v>
      </c>
      <c r="X406" s="156">
        <v>0</v>
      </c>
      <c r="Y406" s="156">
        <v>0</v>
      </c>
      <c r="Z406" s="156">
        <v>0</v>
      </c>
      <c r="AA406" s="156">
        <v>0</v>
      </c>
      <c r="AB406" s="156">
        <v>0</v>
      </c>
      <c r="AC406" s="156">
        <v>0</v>
      </c>
      <c r="AD406" s="156">
        <v>0</v>
      </c>
      <c r="AE406" s="156">
        <v>0</v>
      </c>
      <c r="AF406" s="156">
        <v>0</v>
      </c>
      <c r="AG406" s="156">
        <v>0</v>
      </c>
      <c r="AH406" s="156">
        <v>0</v>
      </c>
      <c r="AI406" s="156">
        <v>0</v>
      </c>
      <c r="AJ406" s="156">
        <v>0</v>
      </c>
      <c r="AK406" s="156">
        <v>0</v>
      </c>
      <c r="AL406" s="156">
        <v>0</v>
      </c>
      <c r="AM406" s="156">
        <v>-1494.17</v>
      </c>
      <c r="AN406" s="156">
        <v>0</v>
      </c>
      <c r="AO406" s="156">
        <v>0</v>
      </c>
      <c r="AP406" s="156">
        <v>0</v>
      </c>
      <c r="AQ406" s="156">
        <v>0</v>
      </c>
      <c r="AR406" s="156">
        <v>0</v>
      </c>
      <c r="AS406" s="156">
        <v>0</v>
      </c>
      <c r="AT406" s="156">
        <f t="shared" si="73"/>
        <v>44825.880000000005</v>
      </c>
    </row>
    <row r="407" spans="1:46" ht="11.25" hidden="1" outlineLevel="3">
      <c r="A407" s="155" t="s">
        <v>152</v>
      </c>
      <c r="B407" s="155" t="s">
        <v>157</v>
      </c>
      <c r="C407" s="155" t="s">
        <v>135</v>
      </c>
      <c r="D407" s="156" t="s">
        <v>187</v>
      </c>
      <c r="E407" s="156" t="s">
        <v>143</v>
      </c>
      <c r="F407" s="157">
        <v>0</v>
      </c>
      <c r="G407" s="157">
        <v>445780</v>
      </c>
      <c r="H407" s="156">
        <v>51529.21</v>
      </c>
      <c r="I407" s="156">
        <v>0</v>
      </c>
      <c r="J407" s="156">
        <v>0</v>
      </c>
      <c r="K407" s="156">
        <v>1564.69</v>
      </c>
      <c r="L407" s="156">
        <v>0</v>
      </c>
      <c r="M407" s="156">
        <v>0</v>
      </c>
      <c r="N407" s="156">
        <f t="shared" si="72"/>
        <v>1564.69</v>
      </c>
      <c r="O407" s="156">
        <v>0</v>
      </c>
      <c r="P407" s="156">
        <v>0</v>
      </c>
      <c r="Q407" s="156">
        <v>0</v>
      </c>
      <c r="R407" s="156">
        <v>0</v>
      </c>
      <c r="S407" s="156">
        <v>0</v>
      </c>
      <c r="T407" s="156">
        <v>27152.07</v>
      </c>
      <c r="U407" s="156">
        <v>0</v>
      </c>
      <c r="V407" s="156">
        <v>0</v>
      </c>
      <c r="W407" s="156">
        <v>0</v>
      </c>
      <c r="X407" s="156">
        <v>0</v>
      </c>
      <c r="Y407" s="156">
        <v>0</v>
      </c>
      <c r="Z407" s="156">
        <v>0</v>
      </c>
      <c r="AA407" s="156">
        <v>0</v>
      </c>
      <c r="AB407" s="156">
        <v>0</v>
      </c>
      <c r="AC407" s="156">
        <v>0</v>
      </c>
      <c r="AD407" s="156">
        <v>0</v>
      </c>
      <c r="AE407" s="156">
        <v>0</v>
      </c>
      <c r="AF407" s="156">
        <v>0</v>
      </c>
      <c r="AG407" s="156">
        <v>0</v>
      </c>
      <c r="AH407" s="156">
        <v>0</v>
      </c>
      <c r="AI407" s="156">
        <v>0</v>
      </c>
      <c r="AJ407" s="156">
        <v>0</v>
      </c>
      <c r="AK407" s="156">
        <v>0</v>
      </c>
      <c r="AL407" s="156">
        <v>0</v>
      </c>
      <c r="AM407" s="156">
        <v>-2665.77</v>
      </c>
      <c r="AN407" s="156">
        <v>0</v>
      </c>
      <c r="AO407" s="156">
        <v>0</v>
      </c>
      <c r="AP407" s="156">
        <v>0</v>
      </c>
      <c r="AQ407" s="156">
        <v>0</v>
      </c>
      <c r="AR407" s="156">
        <v>0</v>
      </c>
      <c r="AS407" s="156">
        <v>0</v>
      </c>
      <c r="AT407" s="156">
        <f t="shared" si="73"/>
        <v>77580.2</v>
      </c>
    </row>
    <row r="408" spans="1:46" ht="11.25" hidden="1" outlineLevel="3">
      <c r="A408" s="155" t="s">
        <v>152</v>
      </c>
      <c r="B408" s="155" t="s">
        <v>137</v>
      </c>
      <c r="C408" s="155" t="s">
        <v>135</v>
      </c>
      <c r="D408" s="156" t="s">
        <v>187</v>
      </c>
      <c r="E408" s="156" t="s">
        <v>143</v>
      </c>
      <c r="F408" s="157">
        <v>0</v>
      </c>
      <c r="G408" s="157">
        <v>214770</v>
      </c>
      <c r="H408" s="156">
        <v>22614.62</v>
      </c>
      <c r="I408" s="156">
        <v>0</v>
      </c>
      <c r="J408" s="156">
        <v>0</v>
      </c>
      <c r="K408" s="156">
        <v>753.85</v>
      </c>
      <c r="L408" s="156">
        <v>0</v>
      </c>
      <c r="M408" s="156">
        <v>0</v>
      </c>
      <c r="N408" s="156">
        <f t="shared" si="72"/>
        <v>753.85</v>
      </c>
      <c r="O408" s="156">
        <v>0</v>
      </c>
      <c r="P408" s="156">
        <v>0</v>
      </c>
      <c r="Q408" s="156">
        <v>0</v>
      </c>
      <c r="R408" s="156">
        <v>0</v>
      </c>
      <c r="S408" s="156">
        <v>0</v>
      </c>
      <c r="T408" s="156">
        <v>7599.22</v>
      </c>
      <c r="U408" s="156">
        <v>0</v>
      </c>
      <c r="V408" s="156">
        <v>0</v>
      </c>
      <c r="W408" s="156">
        <v>0</v>
      </c>
      <c r="X408" s="156">
        <v>0</v>
      </c>
      <c r="Y408" s="156">
        <v>0</v>
      </c>
      <c r="Z408" s="156">
        <v>0</v>
      </c>
      <c r="AA408" s="156">
        <v>0</v>
      </c>
      <c r="AB408" s="156">
        <v>0</v>
      </c>
      <c r="AC408" s="156">
        <v>0</v>
      </c>
      <c r="AD408" s="156">
        <v>0</v>
      </c>
      <c r="AE408" s="156">
        <v>0</v>
      </c>
      <c r="AF408" s="156">
        <v>0</v>
      </c>
      <c r="AG408" s="156">
        <v>0</v>
      </c>
      <c r="AH408" s="156">
        <v>0</v>
      </c>
      <c r="AI408" s="156">
        <v>0</v>
      </c>
      <c r="AJ408" s="156">
        <v>0</v>
      </c>
      <c r="AK408" s="156">
        <v>0</v>
      </c>
      <c r="AL408" s="156">
        <v>0</v>
      </c>
      <c r="AM408" s="156">
        <v>-1284.3399999999999</v>
      </c>
      <c r="AN408" s="156">
        <v>0</v>
      </c>
      <c r="AO408" s="156">
        <v>0</v>
      </c>
      <c r="AP408" s="156">
        <v>0</v>
      </c>
      <c r="AQ408" s="156">
        <v>0</v>
      </c>
      <c r="AR408" s="156">
        <v>0</v>
      </c>
      <c r="AS408" s="156">
        <v>0</v>
      </c>
      <c r="AT408" s="156">
        <f t="shared" si="73"/>
        <v>29683.35</v>
      </c>
    </row>
    <row r="409" spans="1:46" ht="11.25" hidden="1" outlineLevel="3">
      <c r="A409" s="155" t="s">
        <v>152</v>
      </c>
      <c r="B409" s="155" t="s">
        <v>158</v>
      </c>
      <c r="C409" s="155" t="s">
        <v>135</v>
      </c>
      <c r="D409" s="156" t="s">
        <v>187</v>
      </c>
      <c r="E409" s="156" t="s">
        <v>143</v>
      </c>
      <c r="F409" s="157">
        <v>0</v>
      </c>
      <c r="G409" s="157">
        <v>180501</v>
      </c>
      <c r="H409" s="156">
        <v>20282.95</v>
      </c>
      <c r="I409" s="156">
        <v>0</v>
      </c>
      <c r="J409" s="156">
        <v>0</v>
      </c>
      <c r="K409" s="156">
        <v>633.54999999999995</v>
      </c>
      <c r="L409" s="156">
        <v>0</v>
      </c>
      <c r="M409" s="156">
        <v>0</v>
      </c>
      <c r="N409" s="156">
        <f t="shared" si="72"/>
        <v>633.54999999999995</v>
      </c>
      <c r="O409" s="156">
        <v>0</v>
      </c>
      <c r="P409" s="156">
        <v>0</v>
      </c>
      <c r="Q409" s="156">
        <v>0</v>
      </c>
      <c r="R409" s="156">
        <v>0</v>
      </c>
      <c r="S409" s="156">
        <v>0</v>
      </c>
      <c r="T409" s="156">
        <v>8569.66</v>
      </c>
      <c r="U409" s="156">
        <v>0</v>
      </c>
      <c r="V409" s="156">
        <v>0</v>
      </c>
      <c r="W409" s="156">
        <v>0</v>
      </c>
      <c r="X409" s="156">
        <v>0</v>
      </c>
      <c r="Y409" s="156">
        <v>0</v>
      </c>
      <c r="Z409" s="156">
        <v>0</v>
      </c>
      <c r="AA409" s="156">
        <v>0</v>
      </c>
      <c r="AB409" s="156">
        <v>0</v>
      </c>
      <c r="AC409" s="156">
        <v>0</v>
      </c>
      <c r="AD409" s="156">
        <v>0</v>
      </c>
      <c r="AE409" s="156">
        <v>0</v>
      </c>
      <c r="AF409" s="156">
        <v>0</v>
      </c>
      <c r="AG409" s="156">
        <v>0</v>
      </c>
      <c r="AH409" s="156">
        <v>0</v>
      </c>
      <c r="AI409" s="156">
        <v>0</v>
      </c>
      <c r="AJ409" s="156">
        <v>0</v>
      </c>
      <c r="AK409" s="156">
        <v>0</v>
      </c>
      <c r="AL409" s="156">
        <v>0</v>
      </c>
      <c r="AM409" s="156">
        <v>-1079.3900000000001</v>
      </c>
      <c r="AN409" s="156">
        <v>0</v>
      </c>
      <c r="AO409" s="156">
        <v>0</v>
      </c>
      <c r="AP409" s="156">
        <v>0</v>
      </c>
      <c r="AQ409" s="156">
        <v>0</v>
      </c>
      <c r="AR409" s="156">
        <v>0</v>
      </c>
      <c r="AS409" s="156">
        <v>0</v>
      </c>
      <c r="AT409" s="156">
        <f t="shared" si="73"/>
        <v>28406.77</v>
      </c>
    </row>
    <row r="410" spans="1:46" ht="11.25" hidden="1" outlineLevel="3">
      <c r="A410" s="155" t="s">
        <v>152</v>
      </c>
      <c r="B410" s="155" t="s">
        <v>159</v>
      </c>
      <c r="C410" s="155" t="s">
        <v>135</v>
      </c>
      <c r="D410" s="156" t="s">
        <v>187</v>
      </c>
      <c r="E410" s="156" t="s">
        <v>143</v>
      </c>
      <c r="F410" s="157">
        <v>0</v>
      </c>
      <c r="G410" s="157">
        <v>123618</v>
      </c>
      <c r="H410" s="156">
        <v>14685.94</v>
      </c>
      <c r="I410" s="156">
        <v>0</v>
      </c>
      <c r="J410" s="156">
        <v>0</v>
      </c>
      <c r="K410" s="156">
        <v>433.91</v>
      </c>
      <c r="L410" s="156">
        <v>0</v>
      </c>
      <c r="M410" s="156">
        <v>0</v>
      </c>
      <c r="N410" s="156">
        <f t="shared" si="72"/>
        <v>433.91</v>
      </c>
      <c r="O410" s="156">
        <v>0</v>
      </c>
      <c r="P410" s="156">
        <v>0</v>
      </c>
      <c r="Q410" s="156">
        <v>0</v>
      </c>
      <c r="R410" s="156">
        <v>0</v>
      </c>
      <c r="S410" s="156">
        <v>0</v>
      </c>
      <c r="T410" s="156">
        <v>6346.54</v>
      </c>
      <c r="U410" s="156">
        <v>0</v>
      </c>
      <c r="V410" s="156">
        <v>0</v>
      </c>
      <c r="W410" s="156">
        <v>0</v>
      </c>
      <c r="X410" s="156">
        <v>0</v>
      </c>
      <c r="Y410" s="156">
        <v>0</v>
      </c>
      <c r="Z410" s="156">
        <v>0</v>
      </c>
      <c r="AA410" s="156">
        <v>0</v>
      </c>
      <c r="AB410" s="156">
        <v>0</v>
      </c>
      <c r="AC410" s="156">
        <v>0</v>
      </c>
      <c r="AD410" s="156">
        <v>0</v>
      </c>
      <c r="AE410" s="156">
        <v>0</v>
      </c>
      <c r="AF410" s="156">
        <v>0</v>
      </c>
      <c r="AG410" s="156">
        <v>0</v>
      </c>
      <c r="AH410" s="156">
        <v>0</v>
      </c>
      <c r="AI410" s="156">
        <v>0</v>
      </c>
      <c r="AJ410" s="156">
        <v>0</v>
      </c>
      <c r="AK410" s="156">
        <v>0</v>
      </c>
      <c r="AL410" s="156">
        <v>0</v>
      </c>
      <c r="AM410" s="156">
        <v>-739.24</v>
      </c>
      <c r="AN410" s="156">
        <v>0</v>
      </c>
      <c r="AO410" s="156">
        <v>0</v>
      </c>
      <c r="AP410" s="156">
        <v>0</v>
      </c>
      <c r="AQ410" s="156">
        <v>0</v>
      </c>
      <c r="AR410" s="156">
        <v>0</v>
      </c>
      <c r="AS410" s="156">
        <v>0</v>
      </c>
      <c r="AT410" s="156">
        <f t="shared" si="73"/>
        <v>20727.149999999998</v>
      </c>
    </row>
    <row r="411" spans="1:46" ht="11.25" hidden="1" outlineLevel="3">
      <c r="A411" s="155" t="s">
        <v>152</v>
      </c>
      <c r="B411" s="155" t="s">
        <v>160</v>
      </c>
      <c r="C411" s="155" t="s">
        <v>135</v>
      </c>
      <c r="D411" s="156" t="s">
        <v>187</v>
      </c>
      <c r="E411" s="156" t="s">
        <v>143</v>
      </c>
      <c r="F411" s="157">
        <v>0</v>
      </c>
      <c r="G411" s="157">
        <v>153084</v>
      </c>
      <c r="H411" s="156">
        <v>16112.38</v>
      </c>
      <c r="I411" s="156">
        <v>0</v>
      </c>
      <c r="J411" s="156">
        <v>0</v>
      </c>
      <c r="K411" s="156">
        <v>537.33000000000004</v>
      </c>
      <c r="L411" s="156">
        <v>0</v>
      </c>
      <c r="M411" s="156">
        <v>0</v>
      </c>
      <c r="N411" s="156">
        <f t="shared" si="72"/>
        <v>537.33000000000004</v>
      </c>
      <c r="O411" s="156">
        <v>0</v>
      </c>
      <c r="P411" s="156">
        <v>0</v>
      </c>
      <c r="Q411" s="156">
        <v>0</v>
      </c>
      <c r="R411" s="156">
        <v>0</v>
      </c>
      <c r="S411" s="156">
        <v>0</v>
      </c>
      <c r="T411" s="156">
        <v>11336.23</v>
      </c>
      <c r="U411" s="156">
        <v>0</v>
      </c>
      <c r="V411" s="156">
        <v>0</v>
      </c>
      <c r="W411" s="156">
        <v>0</v>
      </c>
      <c r="X411" s="156">
        <v>0</v>
      </c>
      <c r="Y411" s="156">
        <v>0</v>
      </c>
      <c r="Z411" s="156">
        <v>0</v>
      </c>
      <c r="AA411" s="156">
        <v>0</v>
      </c>
      <c r="AB411" s="156">
        <v>0</v>
      </c>
      <c r="AC411" s="156">
        <v>0</v>
      </c>
      <c r="AD411" s="156">
        <v>0</v>
      </c>
      <c r="AE411" s="156">
        <v>0</v>
      </c>
      <c r="AF411" s="156">
        <v>0</v>
      </c>
      <c r="AG411" s="156">
        <v>0</v>
      </c>
      <c r="AH411" s="156">
        <v>0</v>
      </c>
      <c r="AI411" s="156">
        <v>0</v>
      </c>
      <c r="AJ411" s="156">
        <v>0</v>
      </c>
      <c r="AK411" s="156">
        <v>0</v>
      </c>
      <c r="AL411" s="156">
        <v>0</v>
      </c>
      <c r="AM411" s="156">
        <v>-915.44</v>
      </c>
      <c r="AN411" s="156">
        <v>0</v>
      </c>
      <c r="AO411" s="156">
        <v>0</v>
      </c>
      <c r="AP411" s="156">
        <v>0</v>
      </c>
      <c r="AQ411" s="156">
        <v>0</v>
      </c>
      <c r="AR411" s="156">
        <v>0</v>
      </c>
      <c r="AS411" s="156">
        <v>0</v>
      </c>
      <c r="AT411" s="156">
        <f t="shared" si="73"/>
        <v>27070.5</v>
      </c>
    </row>
    <row r="412" spans="1:46" ht="11.25" hidden="1" outlineLevel="3">
      <c r="A412" s="155" t="s">
        <v>167</v>
      </c>
      <c r="B412" s="155" t="s">
        <v>146</v>
      </c>
      <c r="C412" s="155" t="s">
        <v>135</v>
      </c>
      <c r="D412" s="156" t="s">
        <v>187</v>
      </c>
      <c r="E412" s="156" t="s">
        <v>143</v>
      </c>
      <c r="F412" s="157">
        <v>0</v>
      </c>
      <c r="G412" s="157">
        <v>60939</v>
      </c>
      <c r="H412" s="156">
        <v>5507.27</v>
      </c>
      <c r="I412" s="156">
        <v>0</v>
      </c>
      <c r="J412" s="156">
        <v>1705.8</v>
      </c>
      <c r="K412" s="156">
        <v>0</v>
      </c>
      <c r="L412" s="156">
        <v>0</v>
      </c>
      <c r="M412" s="156">
        <v>0</v>
      </c>
      <c r="N412" s="156">
        <f t="shared" si="72"/>
        <v>1705.8</v>
      </c>
      <c r="O412" s="156">
        <v>0</v>
      </c>
      <c r="P412" s="156">
        <v>0</v>
      </c>
      <c r="Q412" s="156">
        <v>0</v>
      </c>
      <c r="R412" s="156">
        <v>0</v>
      </c>
      <c r="S412" s="156">
        <v>0</v>
      </c>
      <c r="T412" s="156">
        <v>1032.1600000000001</v>
      </c>
      <c r="U412" s="156">
        <v>0</v>
      </c>
      <c r="V412" s="156">
        <v>0</v>
      </c>
      <c r="W412" s="156">
        <v>0</v>
      </c>
      <c r="X412" s="156">
        <v>5.47</v>
      </c>
      <c r="Y412" s="156">
        <v>0</v>
      </c>
      <c r="Z412" s="156">
        <v>0</v>
      </c>
      <c r="AA412" s="156">
        <v>0</v>
      </c>
      <c r="AB412" s="156">
        <v>0</v>
      </c>
      <c r="AC412" s="156">
        <v>0</v>
      </c>
      <c r="AD412" s="156">
        <v>0</v>
      </c>
      <c r="AE412" s="156">
        <v>0</v>
      </c>
      <c r="AF412" s="156">
        <v>0</v>
      </c>
      <c r="AG412" s="156">
        <v>0</v>
      </c>
      <c r="AH412" s="156">
        <v>0</v>
      </c>
      <c r="AI412" s="156">
        <v>0</v>
      </c>
      <c r="AJ412" s="156">
        <v>0</v>
      </c>
      <c r="AK412" s="156">
        <v>0</v>
      </c>
      <c r="AL412" s="156">
        <v>0</v>
      </c>
      <c r="AM412" s="156">
        <v>-1384.53</v>
      </c>
      <c r="AN412" s="156">
        <v>0</v>
      </c>
      <c r="AO412" s="156">
        <v>0</v>
      </c>
      <c r="AP412" s="156">
        <v>0</v>
      </c>
      <c r="AQ412" s="156">
        <v>0</v>
      </c>
      <c r="AR412" s="156">
        <v>0</v>
      </c>
      <c r="AS412" s="156">
        <v>0</v>
      </c>
      <c r="AT412" s="156">
        <f t="shared" si="73"/>
        <v>6866.170000000001</v>
      </c>
    </row>
    <row r="413" spans="1:46" ht="11.25" outlineLevel="2" collapsed="1">
      <c r="D413" s="156"/>
      <c r="E413" s="156" t="s">
        <v>235</v>
      </c>
      <c r="F413" s="157">
        <v>7</v>
      </c>
      <c r="G413" s="157">
        <f t="shared" ref="G413:AT413" si="74">SUBTOTAL(9,G401:G412)</f>
        <v>2021171</v>
      </c>
      <c r="H413" s="156">
        <f t="shared" si="74"/>
        <v>208363.76</v>
      </c>
      <c r="I413" s="156">
        <f t="shared" si="74"/>
        <v>0</v>
      </c>
      <c r="J413" s="156">
        <f t="shared" si="74"/>
        <v>1705.8</v>
      </c>
      <c r="K413" s="156">
        <f t="shared" si="74"/>
        <v>6120.89</v>
      </c>
      <c r="L413" s="156">
        <f t="shared" si="74"/>
        <v>1997.65</v>
      </c>
      <c r="M413" s="156">
        <f t="shared" si="74"/>
        <v>4634.74</v>
      </c>
      <c r="N413" s="156">
        <f t="shared" si="74"/>
        <v>14459.079999999998</v>
      </c>
      <c r="O413" s="156">
        <f t="shared" si="74"/>
        <v>98.66</v>
      </c>
      <c r="P413" s="156">
        <f t="shared" si="74"/>
        <v>168.52</v>
      </c>
      <c r="Q413" s="156">
        <f t="shared" si="74"/>
        <v>195.22</v>
      </c>
      <c r="R413" s="156">
        <f t="shared" si="74"/>
        <v>0</v>
      </c>
      <c r="S413" s="156">
        <f t="shared" si="74"/>
        <v>0</v>
      </c>
      <c r="T413" s="156">
        <f t="shared" si="74"/>
        <v>97046.709999999992</v>
      </c>
      <c r="U413" s="156">
        <f t="shared" si="74"/>
        <v>0</v>
      </c>
      <c r="V413" s="156">
        <f t="shared" si="74"/>
        <v>0</v>
      </c>
      <c r="W413" s="156">
        <f t="shared" si="74"/>
        <v>0</v>
      </c>
      <c r="X413" s="156">
        <f t="shared" si="74"/>
        <v>5.47</v>
      </c>
      <c r="Y413" s="156">
        <f t="shared" si="74"/>
        <v>137.01</v>
      </c>
      <c r="Z413" s="156">
        <f t="shared" si="74"/>
        <v>0</v>
      </c>
      <c r="AA413" s="156">
        <f t="shared" si="74"/>
        <v>0</v>
      </c>
      <c r="AB413" s="156">
        <f t="shared" si="74"/>
        <v>0</v>
      </c>
      <c r="AC413" s="156">
        <f t="shared" si="74"/>
        <v>0</v>
      </c>
      <c r="AD413" s="156">
        <f t="shared" si="74"/>
        <v>0</v>
      </c>
      <c r="AE413" s="156">
        <f t="shared" si="74"/>
        <v>0</v>
      </c>
      <c r="AF413" s="156">
        <f t="shared" si="74"/>
        <v>0</v>
      </c>
      <c r="AG413" s="156">
        <f t="shared" si="74"/>
        <v>0</v>
      </c>
      <c r="AH413" s="156">
        <f t="shared" si="74"/>
        <v>0</v>
      </c>
      <c r="AI413" s="156">
        <f t="shared" si="74"/>
        <v>0</v>
      </c>
      <c r="AJ413" s="156">
        <f t="shared" si="74"/>
        <v>0</v>
      </c>
      <c r="AK413" s="156">
        <f t="shared" si="74"/>
        <v>0</v>
      </c>
      <c r="AL413" s="156">
        <f t="shared" si="74"/>
        <v>376.6</v>
      </c>
      <c r="AM413" s="156">
        <f t="shared" si="74"/>
        <v>-12251.7</v>
      </c>
      <c r="AN413" s="156">
        <f t="shared" si="74"/>
        <v>0</v>
      </c>
      <c r="AO413" s="156">
        <f t="shared" si="74"/>
        <v>362.31</v>
      </c>
      <c r="AP413" s="156">
        <f t="shared" si="74"/>
        <v>0</v>
      </c>
      <c r="AQ413" s="156">
        <f t="shared" si="74"/>
        <v>0</v>
      </c>
      <c r="AR413" s="156">
        <f t="shared" si="74"/>
        <v>0</v>
      </c>
      <c r="AS413" s="156">
        <f t="shared" si="74"/>
        <v>0</v>
      </c>
      <c r="AT413" s="156">
        <f t="shared" si="74"/>
        <v>308585.03999999998</v>
      </c>
    </row>
    <row r="414" spans="1:46" ht="11.25" outlineLevel="1">
      <c r="D414" s="159" t="s">
        <v>236</v>
      </c>
      <c r="E414" s="159"/>
      <c r="F414" s="160">
        <f>F366+F369+F382+F385+F398+F400+F413</f>
        <v>528</v>
      </c>
      <c r="G414" s="160">
        <f t="shared" ref="G414:AT414" si="75">SUBTOTAL(9,G353:G412)</f>
        <v>2287735</v>
      </c>
      <c r="H414" s="159">
        <f t="shared" si="75"/>
        <v>252563.21</v>
      </c>
      <c r="I414" s="159">
        <f t="shared" si="75"/>
        <v>0</v>
      </c>
      <c r="J414" s="159">
        <f t="shared" si="75"/>
        <v>1753.6599999999999</v>
      </c>
      <c r="K414" s="159">
        <f t="shared" si="75"/>
        <v>6559.31</v>
      </c>
      <c r="L414" s="159">
        <f t="shared" si="75"/>
        <v>2192.41</v>
      </c>
      <c r="M414" s="159">
        <f t="shared" si="75"/>
        <v>5175.41</v>
      </c>
      <c r="N414" s="159">
        <f t="shared" si="75"/>
        <v>15680.789999999999</v>
      </c>
      <c r="O414" s="159">
        <f t="shared" si="75"/>
        <v>120.6</v>
      </c>
      <c r="P414" s="159">
        <f t="shared" si="75"/>
        <v>198.53</v>
      </c>
      <c r="Q414" s="159">
        <f t="shared" si="75"/>
        <v>219.66</v>
      </c>
      <c r="R414" s="159">
        <f t="shared" si="75"/>
        <v>0</v>
      </c>
      <c r="S414" s="159">
        <f t="shared" si="75"/>
        <v>0</v>
      </c>
      <c r="T414" s="159">
        <f t="shared" si="75"/>
        <v>97046.709999999992</v>
      </c>
      <c r="U414" s="159">
        <f t="shared" si="75"/>
        <v>0</v>
      </c>
      <c r="V414" s="159">
        <f t="shared" si="75"/>
        <v>0</v>
      </c>
      <c r="W414" s="159">
        <f t="shared" si="75"/>
        <v>0</v>
      </c>
      <c r="X414" s="159">
        <f t="shared" si="75"/>
        <v>5.96</v>
      </c>
      <c r="Y414" s="159">
        <f t="shared" si="75"/>
        <v>150.35999999999999</v>
      </c>
      <c r="Z414" s="159">
        <f t="shared" si="75"/>
        <v>148.46</v>
      </c>
      <c r="AA414" s="159">
        <f t="shared" si="75"/>
        <v>17.28</v>
      </c>
      <c r="AB414" s="159">
        <f t="shared" si="75"/>
        <v>0</v>
      </c>
      <c r="AC414" s="159">
        <f t="shared" si="75"/>
        <v>0</v>
      </c>
      <c r="AD414" s="159">
        <f t="shared" si="75"/>
        <v>0</v>
      </c>
      <c r="AE414" s="159">
        <f t="shared" si="75"/>
        <v>0</v>
      </c>
      <c r="AF414" s="159">
        <f t="shared" si="75"/>
        <v>0</v>
      </c>
      <c r="AG414" s="159">
        <f t="shared" si="75"/>
        <v>0</v>
      </c>
      <c r="AH414" s="159">
        <f t="shared" si="75"/>
        <v>0</v>
      </c>
      <c r="AI414" s="159">
        <f t="shared" si="75"/>
        <v>0</v>
      </c>
      <c r="AJ414" s="159">
        <f t="shared" si="75"/>
        <v>0</v>
      </c>
      <c r="AK414" s="159">
        <f t="shared" si="75"/>
        <v>0</v>
      </c>
      <c r="AL414" s="159">
        <f t="shared" si="75"/>
        <v>477.43</v>
      </c>
      <c r="AM414" s="159">
        <f t="shared" si="75"/>
        <v>-13680.4</v>
      </c>
      <c r="AN414" s="159">
        <f t="shared" si="75"/>
        <v>0</v>
      </c>
      <c r="AO414" s="159">
        <f t="shared" si="75"/>
        <v>549.97</v>
      </c>
      <c r="AP414" s="159">
        <f t="shared" si="75"/>
        <v>0</v>
      </c>
      <c r="AQ414" s="159">
        <f t="shared" si="75"/>
        <v>0</v>
      </c>
      <c r="AR414" s="159">
        <f t="shared" si="75"/>
        <v>0</v>
      </c>
      <c r="AS414" s="159">
        <f t="shared" si="75"/>
        <v>0</v>
      </c>
      <c r="AT414" s="159">
        <f t="shared" si="75"/>
        <v>353021.13</v>
      </c>
    </row>
    <row r="415" spans="1:46" ht="11.25" hidden="1" outlineLevel="3">
      <c r="A415" s="155" t="s">
        <v>152</v>
      </c>
      <c r="B415" s="155">
        <v>0</v>
      </c>
      <c r="C415" s="155">
        <v>0</v>
      </c>
      <c r="D415" s="156" t="s">
        <v>144</v>
      </c>
      <c r="E415" s="156" t="s">
        <v>139</v>
      </c>
      <c r="F415" s="157">
        <v>0</v>
      </c>
      <c r="G415" s="157">
        <v>98893</v>
      </c>
      <c r="H415" s="156">
        <v>11712.87</v>
      </c>
      <c r="I415" s="156">
        <v>0</v>
      </c>
      <c r="J415" s="156">
        <v>0</v>
      </c>
      <c r="K415" s="156">
        <v>347.11</v>
      </c>
      <c r="L415" s="156">
        <v>0</v>
      </c>
      <c r="M415" s="156">
        <v>0</v>
      </c>
      <c r="N415" s="156">
        <f t="shared" ref="N415:N447" si="76">J415+K415+L415+M415</f>
        <v>347.11</v>
      </c>
      <c r="O415" s="156">
        <v>0</v>
      </c>
      <c r="P415" s="156">
        <v>0</v>
      </c>
      <c r="Q415" s="156">
        <v>0</v>
      </c>
      <c r="R415" s="156">
        <v>0</v>
      </c>
      <c r="S415" s="156">
        <v>0</v>
      </c>
      <c r="T415" s="156">
        <v>0</v>
      </c>
      <c r="U415" s="156">
        <v>0</v>
      </c>
      <c r="V415" s="156">
        <v>0</v>
      </c>
      <c r="W415" s="156">
        <v>0</v>
      </c>
      <c r="X415" s="156">
        <v>0</v>
      </c>
      <c r="Y415" s="156">
        <v>0</v>
      </c>
      <c r="Z415" s="156">
        <v>70.22</v>
      </c>
      <c r="AA415" s="156">
        <v>0</v>
      </c>
      <c r="AB415" s="156">
        <v>0</v>
      </c>
      <c r="AC415" s="156">
        <v>0</v>
      </c>
      <c r="AD415" s="156">
        <v>0</v>
      </c>
      <c r="AE415" s="156">
        <v>0</v>
      </c>
      <c r="AF415" s="156">
        <v>0</v>
      </c>
      <c r="AG415" s="156">
        <v>0</v>
      </c>
      <c r="AH415" s="156">
        <v>0</v>
      </c>
      <c r="AI415" s="156">
        <v>0</v>
      </c>
      <c r="AJ415" s="156">
        <v>0</v>
      </c>
      <c r="AK415" s="156">
        <v>0</v>
      </c>
      <c r="AL415" s="156">
        <v>0</v>
      </c>
      <c r="AM415" s="156">
        <v>-496.44</v>
      </c>
      <c r="AN415" s="156">
        <v>0</v>
      </c>
      <c r="AO415" s="156">
        <v>0</v>
      </c>
      <c r="AP415" s="156">
        <v>0</v>
      </c>
      <c r="AQ415" s="156">
        <v>0</v>
      </c>
      <c r="AR415" s="156">
        <v>0</v>
      </c>
      <c r="AS415" s="156">
        <v>0</v>
      </c>
      <c r="AT415" s="156">
        <f t="shared" ref="AT415:AT447" si="77">H415+I415+N415+O415+P415+Q415+T415+X415+Y415+Z415+AA415+AB415+AM415+AO415</f>
        <v>11633.76</v>
      </c>
    </row>
    <row r="416" spans="1:46" ht="11.25" hidden="1" outlineLevel="3">
      <c r="A416" s="155" t="s">
        <v>152</v>
      </c>
      <c r="B416" s="155">
        <v>0</v>
      </c>
      <c r="C416" s="155">
        <v>0</v>
      </c>
      <c r="D416" s="156" t="s">
        <v>144</v>
      </c>
      <c r="E416" s="156" t="s">
        <v>139</v>
      </c>
      <c r="F416" s="157">
        <v>0</v>
      </c>
      <c r="G416" s="157">
        <v>93370</v>
      </c>
      <c r="H416" s="156">
        <v>11053.14</v>
      </c>
      <c r="I416" s="156">
        <v>0</v>
      </c>
      <c r="J416" s="156">
        <v>0</v>
      </c>
      <c r="K416" s="156">
        <v>327.73</v>
      </c>
      <c r="L416" s="156">
        <v>0</v>
      </c>
      <c r="M416" s="156">
        <v>0</v>
      </c>
      <c r="N416" s="156">
        <f t="shared" si="76"/>
        <v>327.73</v>
      </c>
      <c r="O416" s="156">
        <v>0</v>
      </c>
      <c r="P416" s="156">
        <v>0</v>
      </c>
      <c r="Q416" s="156">
        <v>0</v>
      </c>
      <c r="R416" s="156">
        <v>0</v>
      </c>
      <c r="S416" s="156">
        <v>0</v>
      </c>
      <c r="T416" s="156">
        <v>0</v>
      </c>
      <c r="U416" s="156">
        <v>0</v>
      </c>
      <c r="V416" s="156">
        <v>0</v>
      </c>
      <c r="W416" s="156">
        <v>0</v>
      </c>
      <c r="X416" s="156">
        <v>0</v>
      </c>
      <c r="Y416" s="156">
        <v>0</v>
      </c>
      <c r="Z416" s="156">
        <v>66.290000000000006</v>
      </c>
      <c r="AA416" s="156">
        <v>0</v>
      </c>
      <c r="AB416" s="156">
        <v>0</v>
      </c>
      <c r="AC416" s="156">
        <v>0</v>
      </c>
      <c r="AD416" s="156">
        <v>0</v>
      </c>
      <c r="AE416" s="156">
        <v>0</v>
      </c>
      <c r="AF416" s="156">
        <v>0</v>
      </c>
      <c r="AG416" s="156">
        <v>0</v>
      </c>
      <c r="AH416" s="156">
        <v>0</v>
      </c>
      <c r="AI416" s="156">
        <v>0</v>
      </c>
      <c r="AJ416" s="156">
        <v>0</v>
      </c>
      <c r="AK416" s="156">
        <v>0</v>
      </c>
      <c r="AL416" s="156">
        <v>0</v>
      </c>
      <c r="AM416" s="156">
        <v>-468.71</v>
      </c>
      <c r="AN416" s="156">
        <v>0</v>
      </c>
      <c r="AO416" s="156">
        <v>0</v>
      </c>
      <c r="AP416" s="156">
        <v>0</v>
      </c>
      <c r="AQ416" s="156">
        <v>0</v>
      </c>
      <c r="AR416" s="156">
        <v>0</v>
      </c>
      <c r="AS416" s="156">
        <v>0</v>
      </c>
      <c r="AT416" s="156">
        <f t="shared" si="77"/>
        <v>10978.45</v>
      </c>
    </row>
    <row r="417" spans="1:46" ht="11.25" hidden="1" outlineLevel="3">
      <c r="A417" s="155" t="s">
        <v>152</v>
      </c>
      <c r="B417" s="155">
        <v>0</v>
      </c>
      <c r="C417" s="155">
        <v>0</v>
      </c>
      <c r="D417" s="156" t="s">
        <v>144</v>
      </c>
      <c r="E417" s="156" t="s">
        <v>139</v>
      </c>
      <c r="F417" s="157">
        <v>0</v>
      </c>
      <c r="G417" s="157">
        <v>94118</v>
      </c>
      <c r="H417" s="156">
        <v>11141.69</v>
      </c>
      <c r="I417" s="156">
        <v>0</v>
      </c>
      <c r="J417" s="156">
        <v>0</v>
      </c>
      <c r="K417" s="156">
        <v>330.36</v>
      </c>
      <c r="L417" s="156">
        <v>0</v>
      </c>
      <c r="M417" s="156">
        <v>0</v>
      </c>
      <c r="N417" s="156">
        <f t="shared" si="76"/>
        <v>330.36</v>
      </c>
      <c r="O417" s="156">
        <v>0</v>
      </c>
      <c r="P417" s="156">
        <v>0</v>
      </c>
      <c r="Q417" s="156">
        <v>0</v>
      </c>
      <c r="R417" s="156">
        <v>0</v>
      </c>
      <c r="S417" s="156">
        <v>0</v>
      </c>
      <c r="T417" s="156">
        <v>0</v>
      </c>
      <c r="U417" s="156">
        <v>0</v>
      </c>
      <c r="V417" s="156">
        <v>0</v>
      </c>
      <c r="W417" s="156">
        <v>0</v>
      </c>
      <c r="X417" s="156">
        <v>0</v>
      </c>
      <c r="Y417" s="156">
        <v>0</v>
      </c>
      <c r="Z417" s="156">
        <v>66.819999999999993</v>
      </c>
      <c r="AA417" s="156">
        <v>0</v>
      </c>
      <c r="AB417" s="156">
        <v>0</v>
      </c>
      <c r="AC417" s="156">
        <v>0</v>
      </c>
      <c r="AD417" s="156">
        <v>0</v>
      </c>
      <c r="AE417" s="156">
        <v>0</v>
      </c>
      <c r="AF417" s="156">
        <v>0</v>
      </c>
      <c r="AG417" s="156">
        <v>0</v>
      </c>
      <c r="AH417" s="156">
        <v>0</v>
      </c>
      <c r="AI417" s="156">
        <v>0</v>
      </c>
      <c r="AJ417" s="156">
        <v>0</v>
      </c>
      <c r="AK417" s="156">
        <v>0</v>
      </c>
      <c r="AL417" s="156">
        <v>0</v>
      </c>
      <c r="AM417" s="156">
        <v>-472.47</v>
      </c>
      <c r="AN417" s="156">
        <v>0</v>
      </c>
      <c r="AO417" s="156">
        <v>0</v>
      </c>
      <c r="AP417" s="156">
        <v>0</v>
      </c>
      <c r="AQ417" s="156">
        <v>0</v>
      </c>
      <c r="AR417" s="156">
        <v>0</v>
      </c>
      <c r="AS417" s="156">
        <v>0</v>
      </c>
      <c r="AT417" s="156">
        <f t="shared" si="77"/>
        <v>11066.400000000001</v>
      </c>
    </row>
    <row r="418" spans="1:46" ht="11.25" hidden="1" outlineLevel="3">
      <c r="A418" s="155" t="s">
        <v>152</v>
      </c>
      <c r="B418" s="155">
        <v>0</v>
      </c>
      <c r="C418" s="155">
        <v>0</v>
      </c>
      <c r="D418" s="156" t="s">
        <v>144</v>
      </c>
      <c r="E418" s="156" t="s">
        <v>139</v>
      </c>
      <c r="F418" s="157">
        <v>0</v>
      </c>
      <c r="G418" s="157">
        <v>87162</v>
      </c>
      <c r="H418" s="156">
        <v>10319.6</v>
      </c>
      <c r="I418" s="156">
        <v>0</v>
      </c>
      <c r="J418" s="156">
        <v>0</v>
      </c>
      <c r="K418" s="156">
        <v>305.94</v>
      </c>
      <c r="L418" s="156">
        <v>0</v>
      </c>
      <c r="M418" s="156">
        <v>0</v>
      </c>
      <c r="N418" s="156">
        <f t="shared" si="76"/>
        <v>305.94</v>
      </c>
      <c r="O418" s="156">
        <v>0</v>
      </c>
      <c r="P418" s="156">
        <v>0</v>
      </c>
      <c r="Q418" s="156">
        <v>0</v>
      </c>
      <c r="R418" s="156">
        <v>0</v>
      </c>
      <c r="S418" s="156">
        <v>0</v>
      </c>
      <c r="T418" s="156">
        <v>0</v>
      </c>
      <c r="U418" s="156">
        <v>0</v>
      </c>
      <c r="V418" s="156">
        <v>0</v>
      </c>
      <c r="W418" s="156">
        <v>0</v>
      </c>
      <c r="X418" s="156">
        <v>0</v>
      </c>
      <c r="Y418" s="156">
        <v>0</v>
      </c>
      <c r="Z418" s="156">
        <v>61.89</v>
      </c>
      <c r="AA418" s="156">
        <v>0</v>
      </c>
      <c r="AB418" s="156">
        <v>0</v>
      </c>
      <c r="AC418" s="156">
        <v>0</v>
      </c>
      <c r="AD418" s="156">
        <v>0</v>
      </c>
      <c r="AE418" s="156">
        <v>0</v>
      </c>
      <c r="AF418" s="156">
        <v>0</v>
      </c>
      <c r="AG418" s="156">
        <v>0</v>
      </c>
      <c r="AH418" s="156">
        <v>0</v>
      </c>
      <c r="AI418" s="156">
        <v>0</v>
      </c>
      <c r="AJ418" s="156">
        <v>0</v>
      </c>
      <c r="AK418" s="156">
        <v>0</v>
      </c>
      <c r="AL418" s="156">
        <v>0</v>
      </c>
      <c r="AM418" s="156">
        <v>-437.56</v>
      </c>
      <c r="AN418" s="156">
        <v>0</v>
      </c>
      <c r="AO418" s="156">
        <v>0</v>
      </c>
      <c r="AP418" s="156">
        <v>0</v>
      </c>
      <c r="AQ418" s="156">
        <v>0</v>
      </c>
      <c r="AR418" s="156">
        <v>0</v>
      </c>
      <c r="AS418" s="156">
        <v>0</v>
      </c>
      <c r="AT418" s="156">
        <f t="shared" si="77"/>
        <v>10249.870000000001</v>
      </c>
    </row>
    <row r="419" spans="1:46" ht="11.25" hidden="1" outlineLevel="3">
      <c r="A419" s="155" t="s">
        <v>152</v>
      </c>
      <c r="D419" s="156" t="s">
        <v>144</v>
      </c>
      <c r="E419" s="156" t="s">
        <v>139</v>
      </c>
      <c r="F419" s="157">
        <v>0</v>
      </c>
      <c r="G419" s="157">
        <v>-98946</v>
      </c>
      <c r="H419" s="156">
        <v>-11713.23</v>
      </c>
      <c r="I419" s="156">
        <v>0</v>
      </c>
      <c r="J419" s="156">
        <v>0</v>
      </c>
      <c r="K419" s="156">
        <v>-281.22000000000003</v>
      </c>
      <c r="L419" s="156">
        <v>0</v>
      </c>
      <c r="M419" s="156">
        <v>0</v>
      </c>
      <c r="N419" s="156">
        <f t="shared" si="76"/>
        <v>-281.22000000000003</v>
      </c>
      <c r="O419" s="156">
        <v>0</v>
      </c>
      <c r="P419" s="156">
        <v>0</v>
      </c>
      <c r="Q419" s="156">
        <v>0</v>
      </c>
      <c r="R419" s="156">
        <v>0</v>
      </c>
      <c r="S419" s="156">
        <v>0</v>
      </c>
      <c r="T419" s="156">
        <v>0</v>
      </c>
      <c r="U419" s="156">
        <v>0</v>
      </c>
      <c r="V419" s="156">
        <v>0</v>
      </c>
      <c r="W419" s="156">
        <v>0</v>
      </c>
      <c r="X419" s="156">
        <v>0</v>
      </c>
      <c r="Y419" s="156">
        <v>0</v>
      </c>
      <c r="Z419" s="156">
        <v>-70.25</v>
      </c>
      <c r="AA419" s="156">
        <v>0</v>
      </c>
      <c r="AB419" s="156">
        <v>0</v>
      </c>
      <c r="AC419" s="156">
        <v>0</v>
      </c>
      <c r="AD419" s="156">
        <v>0</v>
      </c>
      <c r="AE419" s="156">
        <v>0</v>
      </c>
      <c r="AF419" s="156">
        <v>0</v>
      </c>
      <c r="AG419" s="156">
        <v>0</v>
      </c>
      <c r="AH419" s="156">
        <v>0</v>
      </c>
      <c r="AI419" s="156">
        <v>0</v>
      </c>
      <c r="AJ419" s="156">
        <v>0</v>
      </c>
      <c r="AK419" s="156">
        <v>0</v>
      </c>
      <c r="AL419" s="156">
        <v>0</v>
      </c>
      <c r="AM419" s="156">
        <v>496.71</v>
      </c>
      <c r="AN419" s="156">
        <v>0</v>
      </c>
      <c r="AO419" s="156">
        <v>0</v>
      </c>
      <c r="AP419" s="156">
        <v>0</v>
      </c>
      <c r="AQ419" s="156">
        <v>0</v>
      </c>
      <c r="AR419" s="156">
        <v>0</v>
      </c>
      <c r="AS419" s="156">
        <v>0</v>
      </c>
      <c r="AT419" s="156">
        <f t="shared" si="77"/>
        <v>-11567.99</v>
      </c>
    </row>
    <row r="420" spans="1:46" ht="11.25" hidden="1" outlineLevel="3">
      <c r="A420" s="155" t="s">
        <v>152</v>
      </c>
      <c r="D420" s="156" t="s">
        <v>144</v>
      </c>
      <c r="E420" s="156" t="s">
        <v>139</v>
      </c>
      <c r="F420" s="157">
        <v>0</v>
      </c>
      <c r="G420" s="157">
        <v>-85669</v>
      </c>
      <c r="H420" s="156">
        <v>-10141.49</v>
      </c>
      <c r="I420" s="156">
        <v>0</v>
      </c>
      <c r="J420" s="156">
        <v>0</v>
      </c>
      <c r="K420" s="156">
        <v>-243.49</v>
      </c>
      <c r="L420" s="156">
        <v>0</v>
      </c>
      <c r="M420" s="156">
        <v>0</v>
      </c>
      <c r="N420" s="156">
        <f t="shared" si="76"/>
        <v>-243.49</v>
      </c>
      <c r="O420" s="156">
        <v>0</v>
      </c>
      <c r="P420" s="156">
        <v>0</v>
      </c>
      <c r="Q420" s="156">
        <v>0</v>
      </c>
      <c r="R420" s="156">
        <v>0</v>
      </c>
      <c r="S420" s="156">
        <v>0</v>
      </c>
      <c r="T420" s="156">
        <v>0</v>
      </c>
      <c r="U420" s="156">
        <v>0</v>
      </c>
      <c r="V420" s="156">
        <v>0</v>
      </c>
      <c r="W420" s="156">
        <v>0</v>
      </c>
      <c r="X420" s="156">
        <v>0</v>
      </c>
      <c r="Y420" s="156">
        <v>0</v>
      </c>
      <c r="Z420" s="156">
        <v>-60.82</v>
      </c>
      <c r="AA420" s="156">
        <v>0</v>
      </c>
      <c r="AB420" s="156">
        <v>0</v>
      </c>
      <c r="AC420" s="156">
        <v>0</v>
      </c>
      <c r="AD420" s="156">
        <v>0</v>
      </c>
      <c r="AE420" s="156">
        <v>0</v>
      </c>
      <c r="AF420" s="156">
        <v>0</v>
      </c>
      <c r="AG420" s="156">
        <v>0</v>
      </c>
      <c r="AH420" s="156">
        <v>0</v>
      </c>
      <c r="AI420" s="156">
        <v>0</v>
      </c>
      <c r="AJ420" s="156">
        <v>0</v>
      </c>
      <c r="AK420" s="156">
        <v>0</v>
      </c>
      <c r="AL420" s="156">
        <v>0</v>
      </c>
      <c r="AM420" s="156">
        <v>430.06</v>
      </c>
      <c r="AN420" s="156">
        <v>0</v>
      </c>
      <c r="AO420" s="156">
        <v>0</v>
      </c>
      <c r="AP420" s="156">
        <v>0</v>
      </c>
      <c r="AQ420" s="156">
        <v>0</v>
      </c>
      <c r="AR420" s="156">
        <v>0</v>
      </c>
      <c r="AS420" s="156">
        <v>0</v>
      </c>
      <c r="AT420" s="156">
        <f t="shared" si="77"/>
        <v>-10015.74</v>
      </c>
    </row>
    <row r="421" spans="1:46" ht="11.25" hidden="1" outlineLevel="3">
      <c r="A421" s="155" t="s">
        <v>152</v>
      </c>
      <c r="D421" s="156" t="s">
        <v>144</v>
      </c>
      <c r="E421" s="156" t="s">
        <v>139</v>
      </c>
      <c r="F421" s="157">
        <v>0</v>
      </c>
      <c r="G421" s="157">
        <v>-99040</v>
      </c>
      <c r="H421" s="156">
        <v>-11731.44</v>
      </c>
      <c r="I421" s="156">
        <v>0</v>
      </c>
      <c r="J421" s="156">
        <v>0</v>
      </c>
      <c r="K421" s="156">
        <v>-220.06</v>
      </c>
      <c r="L421" s="156">
        <v>0</v>
      </c>
      <c r="M421" s="156">
        <v>0</v>
      </c>
      <c r="N421" s="156">
        <f t="shared" si="76"/>
        <v>-220.06</v>
      </c>
      <c r="O421" s="156">
        <v>0</v>
      </c>
      <c r="P421" s="156">
        <v>0</v>
      </c>
      <c r="Q421" s="156">
        <v>0</v>
      </c>
      <c r="R421" s="156">
        <v>0</v>
      </c>
      <c r="S421" s="156">
        <v>0</v>
      </c>
      <c r="T421" s="156">
        <v>0</v>
      </c>
      <c r="U421" s="156">
        <v>0</v>
      </c>
      <c r="V421" s="156">
        <v>0</v>
      </c>
      <c r="W421" s="156">
        <v>0</v>
      </c>
      <c r="X421" s="156">
        <v>0</v>
      </c>
      <c r="Y421" s="156">
        <v>0</v>
      </c>
      <c r="Z421" s="156">
        <v>-70.319999999999993</v>
      </c>
      <c r="AA421" s="156">
        <v>0</v>
      </c>
      <c r="AB421" s="156">
        <v>0</v>
      </c>
      <c r="AC421" s="156">
        <v>0</v>
      </c>
      <c r="AD421" s="156">
        <v>0</v>
      </c>
      <c r="AE421" s="156">
        <v>0</v>
      </c>
      <c r="AF421" s="156">
        <v>0</v>
      </c>
      <c r="AG421" s="156">
        <v>0</v>
      </c>
      <c r="AH421" s="156">
        <v>0</v>
      </c>
      <c r="AI421" s="156">
        <v>0</v>
      </c>
      <c r="AJ421" s="156">
        <v>0</v>
      </c>
      <c r="AK421" s="156">
        <v>0</v>
      </c>
      <c r="AL421" s="156">
        <v>0</v>
      </c>
      <c r="AM421" s="156">
        <v>497.2</v>
      </c>
      <c r="AN421" s="156">
        <v>0</v>
      </c>
      <c r="AO421" s="156">
        <v>0</v>
      </c>
      <c r="AP421" s="156">
        <v>0</v>
      </c>
      <c r="AQ421" s="156">
        <v>0</v>
      </c>
      <c r="AR421" s="156">
        <v>0</v>
      </c>
      <c r="AS421" s="156">
        <v>0</v>
      </c>
      <c r="AT421" s="156">
        <f t="shared" si="77"/>
        <v>-11524.619999999999</v>
      </c>
    </row>
    <row r="422" spans="1:46" ht="11.25" hidden="1" outlineLevel="3">
      <c r="A422" s="155" t="s">
        <v>152</v>
      </c>
      <c r="D422" s="156" t="s">
        <v>144</v>
      </c>
      <c r="E422" s="156" t="s">
        <v>139</v>
      </c>
      <c r="F422" s="157">
        <v>0</v>
      </c>
      <c r="G422" s="157">
        <v>-98146</v>
      </c>
      <c r="H422" s="156">
        <v>-11618.94</v>
      </c>
      <c r="I422" s="156">
        <v>0</v>
      </c>
      <c r="J422" s="156">
        <v>0</v>
      </c>
      <c r="K422" s="156">
        <v>60.42</v>
      </c>
      <c r="L422" s="156">
        <v>0</v>
      </c>
      <c r="M422" s="156">
        <v>0</v>
      </c>
      <c r="N422" s="156">
        <f t="shared" si="76"/>
        <v>60.42</v>
      </c>
      <c r="O422" s="156">
        <v>0</v>
      </c>
      <c r="P422" s="156">
        <v>0</v>
      </c>
      <c r="Q422" s="156">
        <v>0</v>
      </c>
      <c r="R422" s="156">
        <v>0</v>
      </c>
      <c r="S422" s="156">
        <v>0</v>
      </c>
      <c r="T422" s="156">
        <v>0</v>
      </c>
      <c r="U422" s="156">
        <v>0</v>
      </c>
      <c r="V422" s="156">
        <v>0</v>
      </c>
      <c r="W422" s="156">
        <v>0</v>
      </c>
      <c r="X422" s="156">
        <v>0</v>
      </c>
      <c r="Y422" s="156">
        <v>0</v>
      </c>
      <c r="Z422" s="156">
        <v>-69.69</v>
      </c>
      <c r="AA422" s="156">
        <v>0</v>
      </c>
      <c r="AB422" s="156">
        <v>0</v>
      </c>
      <c r="AC422" s="156">
        <v>0</v>
      </c>
      <c r="AD422" s="156">
        <v>0</v>
      </c>
      <c r="AE422" s="156">
        <v>0</v>
      </c>
      <c r="AF422" s="156">
        <v>0</v>
      </c>
      <c r="AG422" s="156">
        <v>0</v>
      </c>
      <c r="AH422" s="156">
        <v>0</v>
      </c>
      <c r="AI422" s="156">
        <v>0</v>
      </c>
      <c r="AJ422" s="156">
        <v>0</v>
      </c>
      <c r="AK422" s="156">
        <v>0</v>
      </c>
      <c r="AL422" s="156">
        <v>0</v>
      </c>
      <c r="AM422" s="156">
        <v>492.69</v>
      </c>
      <c r="AN422" s="156">
        <v>0</v>
      </c>
      <c r="AO422" s="156">
        <v>0</v>
      </c>
      <c r="AP422" s="156">
        <v>0</v>
      </c>
      <c r="AQ422" s="156">
        <v>0</v>
      </c>
      <c r="AR422" s="156">
        <v>0</v>
      </c>
      <c r="AS422" s="156">
        <v>0</v>
      </c>
      <c r="AT422" s="156">
        <f t="shared" si="77"/>
        <v>-11135.52</v>
      </c>
    </row>
    <row r="423" spans="1:46" ht="11.25" hidden="1" outlineLevel="3">
      <c r="A423" s="155" t="s">
        <v>131</v>
      </c>
      <c r="D423" s="156" t="s">
        <v>144</v>
      </c>
      <c r="E423" s="156" t="s">
        <v>139</v>
      </c>
      <c r="F423" s="157">
        <v>0</v>
      </c>
      <c r="G423" s="157">
        <v>-90000</v>
      </c>
      <c r="H423" s="156">
        <v>-4869.8999999999996</v>
      </c>
      <c r="I423" s="156">
        <v>0</v>
      </c>
      <c r="J423" s="156">
        <v>0</v>
      </c>
      <c r="K423" s="156">
        <v>0</v>
      </c>
      <c r="L423" s="156">
        <v>-2624.4</v>
      </c>
      <c r="M423" s="156">
        <v>0</v>
      </c>
      <c r="N423" s="156">
        <f t="shared" si="76"/>
        <v>-2624.4</v>
      </c>
      <c r="O423" s="156">
        <v>-338.4</v>
      </c>
      <c r="P423" s="156">
        <v>-439.2</v>
      </c>
      <c r="Q423" s="156">
        <v>0</v>
      </c>
      <c r="R423" s="156">
        <v>0</v>
      </c>
      <c r="S423" s="156">
        <v>0</v>
      </c>
      <c r="T423" s="156">
        <v>0</v>
      </c>
      <c r="U423" s="156">
        <v>0</v>
      </c>
      <c r="V423" s="156">
        <v>0</v>
      </c>
      <c r="W423" s="156">
        <v>0</v>
      </c>
      <c r="X423" s="156">
        <v>0</v>
      </c>
      <c r="Y423" s="156">
        <v>-180</v>
      </c>
      <c r="Z423" s="156">
        <v>0</v>
      </c>
      <c r="AA423" s="156">
        <v>-294.3</v>
      </c>
      <c r="AB423" s="156">
        <v>0</v>
      </c>
      <c r="AC423" s="156">
        <v>0</v>
      </c>
      <c r="AD423" s="156">
        <v>0</v>
      </c>
      <c r="AE423" s="156">
        <v>0</v>
      </c>
      <c r="AF423" s="156">
        <v>0</v>
      </c>
      <c r="AG423" s="156">
        <v>0</v>
      </c>
      <c r="AH423" s="156">
        <v>0</v>
      </c>
      <c r="AI423" s="156">
        <v>0</v>
      </c>
      <c r="AJ423" s="156">
        <v>0</v>
      </c>
      <c r="AK423" s="156">
        <v>0</v>
      </c>
      <c r="AL423" s="156">
        <v>-654.03000000000009</v>
      </c>
      <c r="AM423" s="156">
        <v>1051.9000000000001</v>
      </c>
      <c r="AN423" s="156">
        <v>0</v>
      </c>
      <c r="AO423" s="156">
        <v>0</v>
      </c>
      <c r="AP423" s="156">
        <v>0</v>
      </c>
      <c r="AQ423" s="156">
        <v>0</v>
      </c>
      <c r="AR423" s="156">
        <v>0</v>
      </c>
      <c r="AS423" s="156">
        <v>0</v>
      </c>
      <c r="AT423" s="156">
        <f t="shared" si="77"/>
        <v>-7694.2999999999993</v>
      </c>
    </row>
    <row r="424" spans="1:46" ht="11.25" hidden="1" outlineLevel="3">
      <c r="A424" s="155" t="s">
        <v>131</v>
      </c>
      <c r="B424" s="155" t="s">
        <v>132</v>
      </c>
      <c r="C424" s="155" t="s">
        <v>133</v>
      </c>
      <c r="D424" s="156" t="s">
        <v>144</v>
      </c>
      <c r="E424" s="156" t="s">
        <v>139</v>
      </c>
      <c r="F424" s="157">
        <v>0</v>
      </c>
      <c r="G424" s="157">
        <v>69785</v>
      </c>
      <c r="H424" s="156">
        <v>5251.77</v>
      </c>
      <c r="I424" s="156">
        <v>0</v>
      </c>
      <c r="J424" s="156">
        <v>0</v>
      </c>
      <c r="K424" s="156">
        <v>0</v>
      </c>
      <c r="L424" s="156">
        <v>2034.97</v>
      </c>
      <c r="M424" s="156">
        <v>0</v>
      </c>
      <c r="N424" s="156">
        <f t="shared" si="76"/>
        <v>2034.97</v>
      </c>
      <c r="O424" s="156">
        <v>262.37</v>
      </c>
      <c r="P424" s="156">
        <v>340.55</v>
      </c>
      <c r="Q424" s="156">
        <v>0</v>
      </c>
      <c r="R424" s="156">
        <v>0</v>
      </c>
      <c r="S424" s="156">
        <v>0</v>
      </c>
      <c r="T424" s="156">
        <v>0</v>
      </c>
      <c r="U424" s="156">
        <v>0</v>
      </c>
      <c r="V424" s="156">
        <v>0</v>
      </c>
      <c r="W424" s="156">
        <v>0</v>
      </c>
      <c r="X424" s="156">
        <v>0</v>
      </c>
      <c r="Y424" s="156">
        <v>139.57</v>
      </c>
      <c r="Z424" s="156">
        <v>0</v>
      </c>
      <c r="AA424" s="156">
        <v>228.18</v>
      </c>
      <c r="AB424" s="156">
        <v>0</v>
      </c>
      <c r="AC424" s="156">
        <v>0</v>
      </c>
      <c r="AD424" s="156">
        <v>0</v>
      </c>
      <c r="AE424" s="156">
        <v>0</v>
      </c>
      <c r="AF424" s="156">
        <v>0</v>
      </c>
      <c r="AG424" s="156">
        <v>0</v>
      </c>
      <c r="AH424" s="156">
        <v>0</v>
      </c>
      <c r="AI424" s="156">
        <v>0</v>
      </c>
      <c r="AJ424" s="156">
        <v>0</v>
      </c>
      <c r="AK424" s="156">
        <v>0</v>
      </c>
      <c r="AL424" s="156">
        <v>646.91999999999996</v>
      </c>
      <c r="AM424" s="156">
        <v>-1134.3900000000001</v>
      </c>
      <c r="AN424" s="156">
        <v>0</v>
      </c>
      <c r="AO424" s="156">
        <v>0</v>
      </c>
      <c r="AP424" s="156">
        <v>0</v>
      </c>
      <c r="AQ424" s="156">
        <v>0</v>
      </c>
      <c r="AR424" s="156">
        <v>0</v>
      </c>
      <c r="AS424" s="156">
        <v>0</v>
      </c>
      <c r="AT424" s="156">
        <f t="shared" si="77"/>
        <v>7123.0199999999995</v>
      </c>
    </row>
    <row r="425" spans="1:46" ht="11.25" hidden="1" outlineLevel="3">
      <c r="A425" s="155" t="s">
        <v>131</v>
      </c>
      <c r="B425" s="155" t="s">
        <v>132</v>
      </c>
      <c r="C425" s="155" t="s">
        <v>133</v>
      </c>
      <c r="D425" s="156" t="s">
        <v>144</v>
      </c>
      <c r="E425" s="156" t="s">
        <v>139</v>
      </c>
      <c r="F425" s="157">
        <v>0</v>
      </c>
      <c r="G425" s="157">
        <v>132013</v>
      </c>
      <c r="H425" s="156">
        <v>7731.91</v>
      </c>
      <c r="I425" s="156">
        <v>0</v>
      </c>
      <c r="J425" s="156">
        <v>0</v>
      </c>
      <c r="K425" s="156">
        <v>0</v>
      </c>
      <c r="L425" s="156">
        <v>3849.51</v>
      </c>
      <c r="M425" s="156">
        <v>0</v>
      </c>
      <c r="N425" s="156">
        <f t="shared" si="76"/>
        <v>3849.51</v>
      </c>
      <c r="O425" s="156">
        <v>496.36</v>
      </c>
      <c r="P425" s="156">
        <v>644.21</v>
      </c>
      <c r="Q425" s="156">
        <v>0</v>
      </c>
      <c r="R425" s="156">
        <v>0</v>
      </c>
      <c r="S425" s="156">
        <v>0</v>
      </c>
      <c r="T425" s="156">
        <v>0</v>
      </c>
      <c r="U425" s="156">
        <v>0</v>
      </c>
      <c r="V425" s="156">
        <v>0</v>
      </c>
      <c r="W425" s="156">
        <v>0</v>
      </c>
      <c r="X425" s="156">
        <v>0</v>
      </c>
      <c r="Y425" s="156">
        <v>264.02</v>
      </c>
      <c r="Z425" s="156">
        <v>0</v>
      </c>
      <c r="AA425" s="156">
        <v>431.67</v>
      </c>
      <c r="AB425" s="156">
        <v>0</v>
      </c>
      <c r="AC425" s="156">
        <v>0</v>
      </c>
      <c r="AD425" s="156">
        <v>0</v>
      </c>
      <c r="AE425" s="156">
        <v>0</v>
      </c>
      <c r="AF425" s="156">
        <v>0</v>
      </c>
      <c r="AG425" s="156">
        <v>0</v>
      </c>
      <c r="AH425" s="156">
        <v>0</v>
      </c>
      <c r="AI425" s="156">
        <v>0</v>
      </c>
      <c r="AJ425" s="156">
        <v>0</v>
      </c>
      <c r="AK425" s="156">
        <v>0</v>
      </c>
      <c r="AL425" s="156">
        <v>1014.92</v>
      </c>
      <c r="AM425" s="156">
        <v>-1670.1</v>
      </c>
      <c r="AN425" s="156">
        <v>0</v>
      </c>
      <c r="AO425" s="156">
        <v>0</v>
      </c>
      <c r="AP425" s="156">
        <v>0</v>
      </c>
      <c r="AQ425" s="156">
        <v>0</v>
      </c>
      <c r="AR425" s="156">
        <v>0</v>
      </c>
      <c r="AS425" s="156">
        <v>0</v>
      </c>
      <c r="AT425" s="156">
        <f t="shared" si="77"/>
        <v>11747.580000000002</v>
      </c>
    </row>
    <row r="426" spans="1:46" ht="11.25" hidden="1" outlineLevel="3">
      <c r="A426" s="155" t="s">
        <v>145</v>
      </c>
      <c r="B426" s="155" t="s">
        <v>146</v>
      </c>
      <c r="C426" s="155" t="s">
        <v>133</v>
      </c>
      <c r="D426" s="156" t="s">
        <v>144</v>
      </c>
      <c r="E426" s="156" t="s">
        <v>139</v>
      </c>
      <c r="F426" s="157">
        <v>0</v>
      </c>
      <c r="G426" s="157">
        <v>27951</v>
      </c>
      <c r="H426" s="156">
        <v>2893.29</v>
      </c>
      <c r="I426" s="156">
        <v>0</v>
      </c>
      <c r="J426" s="156">
        <v>0</v>
      </c>
      <c r="K426" s="156">
        <v>0</v>
      </c>
      <c r="L426" s="156">
        <v>0</v>
      </c>
      <c r="M426" s="156">
        <v>816.15</v>
      </c>
      <c r="N426" s="156">
        <f t="shared" si="76"/>
        <v>816.15</v>
      </c>
      <c r="O426" s="156">
        <v>0</v>
      </c>
      <c r="P426" s="156">
        <v>0</v>
      </c>
      <c r="Q426" s="156">
        <v>36.92</v>
      </c>
      <c r="R426" s="156">
        <v>0</v>
      </c>
      <c r="S426" s="156">
        <v>0</v>
      </c>
      <c r="T426" s="156">
        <v>0</v>
      </c>
      <c r="U426" s="156">
        <v>0</v>
      </c>
      <c r="V426" s="156">
        <v>0</v>
      </c>
      <c r="W426" s="156">
        <v>0</v>
      </c>
      <c r="X426" s="156">
        <v>0</v>
      </c>
      <c r="Y426" s="156">
        <v>0</v>
      </c>
      <c r="Z426" s="156">
        <v>0</v>
      </c>
      <c r="AA426" s="156">
        <v>0</v>
      </c>
      <c r="AB426" s="156">
        <v>0</v>
      </c>
      <c r="AC426" s="156">
        <v>0</v>
      </c>
      <c r="AD426" s="156">
        <v>0</v>
      </c>
      <c r="AE426" s="156">
        <v>0</v>
      </c>
      <c r="AF426" s="156">
        <v>0</v>
      </c>
      <c r="AG426" s="156">
        <v>0</v>
      </c>
      <c r="AH426" s="156">
        <v>0</v>
      </c>
      <c r="AI426" s="156">
        <v>0</v>
      </c>
      <c r="AJ426" s="156">
        <v>0</v>
      </c>
      <c r="AK426" s="156">
        <v>0</v>
      </c>
      <c r="AL426" s="156">
        <v>0</v>
      </c>
      <c r="AM426" s="156">
        <v>0</v>
      </c>
      <c r="AN426" s="156">
        <v>0</v>
      </c>
      <c r="AO426" s="156">
        <v>300.20999999999998</v>
      </c>
      <c r="AP426" s="156">
        <v>0</v>
      </c>
      <c r="AQ426" s="156">
        <v>0</v>
      </c>
      <c r="AR426" s="156">
        <v>0</v>
      </c>
      <c r="AS426" s="156">
        <v>0</v>
      </c>
      <c r="AT426" s="156">
        <f t="shared" si="77"/>
        <v>4046.57</v>
      </c>
    </row>
    <row r="427" spans="1:46" ht="11.25" hidden="1" outlineLevel="3">
      <c r="A427" s="155" t="s">
        <v>145</v>
      </c>
      <c r="B427" s="155" t="s">
        <v>146</v>
      </c>
      <c r="C427" s="155" t="s">
        <v>133</v>
      </c>
      <c r="D427" s="156" t="s">
        <v>144</v>
      </c>
      <c r="E427" s="156" t="s">
        <v>139</v>
      </c>
      <c r="F427" s="157">
        <v>0</v>
      </c>
      <c r="G427" s="157">
        <v>16680</v>
      </c>
      <c r="H427" s="156">
        <v>1711.76</v>
      </c>
      <c r="I427" s="156">
        <v>0</v>
      </c>
      <c r="J427" s="156">
        <v>0</v>
      </c>
      <c r="K427" s="156">
        <v>0</v>
      </c>
      <c r="L427" s="156">
        <v>0</v>
      </c>
      <c r="M427" s="156">
        <v>487.06</v>
      </c>
      <c r="N427" s="156">
        <f t="shared" si="76"/>
        <v>487.06</v>
      </c>
      <c r="O427" s="156">
        <v>0</v>
      </c>
      <c r="P427" s="156">
        <v>0</v>
      </c>
      <c r="Q427" s="156">
        <v>22.02</v>
      </c>
      <c r="R427" s="156">
        <v>0</v>
      </c>
      <c r="S427" s="156">
        <v>0</v>
      </c>
      <c r="T427" s="156">
        <v>0</v>
      </c>
      <c r="U427" s="156">
        <v>0</v>
      </c>
      <c r="V427" s="156">
        <v>0</v>
      </c>
      <c r="W427" s="156">
        <v>0</v>
      </c>
      <c r="X427" s="156">
        <v>0</v>
      </c>
      <c r="Y427" s="156">
        <v>0</v>
      </c>
      <c r="Z427" s="156">
        <v>0</v>
      </c>
      <c r="AA427" s="156">
        <v>0</v>
      </c>
      <c r="AB427" s="156">
        <v>0</v>
      </c>
      <c r="AC427" s="156">
        <v>0</v>
      </c>
      <c r="AD427" s="156">
        <v>0</v>
      </c>
      <c r="AE427" s="156">
        <v>0</v>
      </c>
      <c r="AF427" s="156">
        <v>0</v>
      </c>
      <c r="AG427" s="156">
        <v>0</v>
      </c>
      <c r="AH427" s="156">
        <v>0</v>
      </c>
      <c r="AI427" s="156">
        <v>0</v>
      </c>
      <c r="AJ427" s="156">
        <v>0</v>
      </c>
      <c r="AK427" s="156">
        <v>0</v>
      </c>
      <c r="AL427" s="156">
        <v>0</v>
      </c>
      <c r="AM427" s="156">
        <v>0</v>
      </c>
      <c r="AN427" s="156">
        <v>0</v>
      </c>
      <c r="AO427" s="156">
        <v>179.13</v>
      </c>
      <c r="AP427" s="156">
        <v>0</v>
      </c>
      <c r="AQ427" s="156">
        <v>0</v>
      </c>
      <c r="AR427" s="156">
        <v>0</v>
      </c>
      <c r="AS427" s="156">
        <v>0</v>
      </c>
      <c r="AT427" s="156">
        <f t="shared" si="77"/>
        <v>2399.9700000000003</v>
      </c>
    </row>
    <row r="428" spans="1:46" ht="11.25" hidden="1" outlineLevel="3">
      <c r="A428" s="155" t="s">
        <v>145</v>
      </c>
      <c r="B428" s="155" t="s">
        <v>147</v>
      </c>
      <c r="C428" s="155" t="s">
        <v>133</v>
      </c>
      <c r="D428" s="156" t="s">
        <v>144</v>
      </c>
      <c r="E428" s="156" t="s">
        <v>139</v>
      </c>
      <c r="F428" s="157">
        <v>0</v>
      </c>
      <c r="G428" s="157">
        <v>55591</v>
      </c>
      <c r="H428" s="156">
        <v>5128.93</v>
      </c>
      <c r="I428" s="156">
        <v>0</v>
      </c>
      <c r="J428" s="156">
        <v>0</v>
      </c>
      <c r="K428" s="156">
        <v>0</v>
      </c>
      <c r="L428" s="156">
        <v>0</v>
      </c>
      <c r="M428" s="156">
        <v>1623.23</v>
      </c>
      <c r="N428" s="156">
        <f t="shared" si="76"/>
        <v>1623.23</v>
      </c>
      <c r="O428" s="156">
        <v>0</v>
      </c>
      <c r="P428" s="156">
        <v>0</v>
      </c>
      <c r="Q428" s="156">
        <v>73.39</v>
      </c>
      <c r="R428" s="156">
        <v>0</v>
      </c>
      <c r="S428" s="156">
        <v>0</v>
      </c>
      <c r="T428" s="156">
        <v>48.78</v>
      </c>
      <c r="U428" s="156">
        <v>0</v>
      </c>
      <c r="V428" s="156">
        <v>0</v>
      </c>
      <c r="W428" s="156">
        <v>0</v>
      </c>
      <c r="X428" s="156">
        <v>0</v>
      </c>
      <c r="Y428" s="156">
        <v>0</v>
      </c>
      <c r="Z428" s="156">
        <v>0</v>
      </c>
      <c r="AA428" s="156">
        <v>0</v>
      </c>
      <c r="AB428" s="156">
        <v>0</v>
      </c>
      <c r="AC428" s="156">
        <v>0</v>
      </c>
      <c r="AD428" s="156">
        <v>0</v>
      </c>
      <c r="AE428" s="156">
        <v>0</v>
      </c>
      <c r="AF428" s="156">
        <v>0</v>
      </c>
      <c r="AG428" s="156">
        <v>0</v>
      </c>
      <c r="AH428" s="156">
        <v>0</v>
      </c>
      <c r="AI428" s="156">
        <v>0</v>
      </c>
      <c r="AJ428" s="156">
        <v>0</v>
      </c>
      <c r="AK428" s="156">
        <v>0</v>
      </c>
      <c r="AL428" s="156">
        <v>0</v>
      </c>
      <c r="AM428" s="156">
        <v>0</v>
      </c>
      <c r="AN428" s="156">
        <v>0</v>
      </c>
      <c r="AO428" s="156">
        <v>597.05999999999995</v>
      </c>
      <c r="AP428" s="156">
        <v>0</v>
      </c>
      <c r="AQ428" s="156">
        <v>0</v>
      </c>
      <c r="AR428" s="156">
        <v>0</v>
      </c>
      <c r="AS428" s="156">
        <v>0</v>
      </c>
      <c r="AT428" s="156">
        <f t="shared" si="77"/>
        <v>7471.3899999999994</v>
      </c>
    </row>
    <row r="429" spans="1:46" ht="11.25" hidden="1" outlineLevel="3">
      <c r="A429" s="155" t="s">
        <v>145</v>
      </c>
      <c r="B429" s="155" t="s">
        <v>147</v>
      </c>
      <c r="C429" s="155" t="s">
        <v>133</v>
      </c>
      <c r="D429" s="156" t="s">
        <v>144</v>
      </c>
      <c r="E429" s="156" t="s">
        <v>139</v>
      </c>
      <c r="F429" s="157">
        <v>0</v>
      </c>
      <c r="G429" s="157">
        <v>12731</v>
      </c>
      <c r="H429" s="156">
        <v>1426.43</v>
      </c>
      <c r="I429" s="156">
        <v>0</v>
      </c>
      <c r="J429" s="156">
        <v>0</v>
      </c>
      <c r="K429" s="156">
        <v>0</v>
      </c>
      <c r="L429" s="156">
        <v>0</v>
      </c>
      <c r="M429" s="156">
        <v>371.74</v>
      </c>
      <c r="N429" s="156">
        <f t="shared" si="76"/>
        <v>371.74</v>
      </c>
      <c r="O429" s="156">
        <v>0</v>
      </c>
      <c r="P429" s="156">
        <v>0</v>
      </c>
      <c r="Q429" s="156">
        <v>16.82</v>
      </c>
      <c r="R429" s="156">
        <v>0</v>
      </c>
      <c r="S429" s="156">
        <v>0</v>
      </c>
      <c r="T429" s="156">
        <v>0</v>
      </c>
      <c r="U429" s="156">
        <v>0</v>
      </c>
      <c r="V429" s="156">
        <v>0</v>
      </c>
      <c r="W429" s="156">
        <v>0</v>
      </c>
      <c r="X429" s="156">
        <v>0</v>
      </c>
      <c r="Y429" s="156">
        <v>0</v>
      </c>
      <c r="Z429" s="156">
        <v>0</v>
      </c>
      <c r="AA429" s="156">
        <v>0</v>
      </c>
      <c r="AB429" s="156">
        <v>0</v>
      </c>
      <c r="AC429" s="156">
        <v>0</v>
      </c>
      <c r="AD429" s="156">
        <v>0</v>
      </c>
      <c r="AE429" s="156">
        <v>0</v>
      </c>
      <c r="AF429" s="156">
        <v>0</v>
      </c>
      <c r="AG429" s="156">
        <v>0</v>
      </c>
      <c r="AH429" s="156">
        <v>0</v>
      </c>
      <c r="AI429" s="156">
        <v>0</v>
      </c>
      <c r="AJ429" s="156">
        <v>0</v>
      </c>
      <c r="AK429" s="156">
        <v>0</v>
      </c>
      <c r="AL429" s="156">
        <v>0</v>
      </c>
      <c r="AM429" s="156">
        <v>0</v>
      </c>
      <c r="AN429" s="156">
        <v>0</v>
      </c>
      <c r="AO429" s="156">
        <v>136.71</v>
      </c>
      <c r="AP429" s="156">
        <v>0</v>
      </c>
      <c r="AQ429" s="156">
        <v>0</v>
      </c>
      <c r="AR429" s="156">
        <v>0</v>
      </c>
      <c r="AS429" s="156">
        <v>0</v>
      </c>
      <c r="AT429" s="156">
        <f t="shared" si="77"/>
        <v>1951.7</v>
      </c>
    </row>
    <row r="430" spans="1:46" ht="11.25" hidden="1" outlineLevel="3">
      <c r="A430" s="155" t="s">
        <v>152</v>
      </c>
      <c r="B430" s="155" t="s">
        <v>153</v>
      </c>
      <c r="C430" s="155" t="s">
        <v>133</v>
      </c>
      <c r="D430" s="156" t="s">
        <v>144</v>
      </c>
      <c r="E430" s="156" t="s">
        <v>139</v>
      </c>
      <c r="F430" s="157">
        <v>0</v>
      </c>
      <c r="G430" s="157">
        <v>149850</v>
      </c>
      <c r="H430" s="156">
        <v>19440.669999999998</v>
      </c>
      <c r="I430" s="156">
        <v>0</v>
      </c>
      <c r="J430" s="156">
        <v>0</v>
      </c>
      <c r="K430" s="156">
        <v>67.88</v>
      </c>
      <c r="L430" s="156">
        <v>0</v>
      </c>
      <c r="M430" s="156">
        <v>0</v>
      </c>
      <c r="N430" s="156">
        <f t="shared" si="76"/>
        <v>67.88</v>
      </c>
      <c r="O430" s="156">
        <v>0</v>
      </c>
      <c r="P430" s="156">
        <v>0</v>
      </c>
      <c r="Q430" s="156">
        <v>0</v>
      </c>
      <c r="R430" s="156">
        <v>0</v>
      </c>
      <c r="S430" s="156">
        <v>0</v>
      </c>
      <c r="T430" s="156">
        <v>0</v>
      </c>
      <c r="U430" s="156">
        <v>0</v>
      </c>
      <c r="V430" s="156">
        <v>0</v>
      </c>
      <c r="W430" s="156">
        <v>0</v>
      </c>
      <c r="X430" s="156">
        <v>0</v>
      </c>
      <c r="Y430" s="156">
        <v>0</v>
      </c>
      <c r="Z430" s="156">
        <v>106.4</v>
      </c>
      <c r="AA430" s="156">
        <v>0</v>
      </c>
      <c r="AB430" s="156">
        <v>0</v>
      </c>
      <c r="AC430" s="156">
        <v>0</v>
      </c>
      <c r="AD430" s="156">
        <v>0</v>
      </c>
      <c r="AE430" s="156">
        <v>0</v>
      </c>
      <c r="AF430" s="156">
        <v>0</v>
      </c>
      <c r="AG430" s="156">
        <v>0</v>
      </c>
      <c r="AH430" s="156">
        <v>0</v>
      </c>
      <c r="AI430" s="156">
        <v>0</v>
      </c>
      <c r="AJ430" s="156">
        <v>0</v>
      </c>
      <c r="AK430" s="156">
        <v>0</v>
      </c>
      <c r="AL430" s="156">
        <v>0</v>
      </c>
      <c r="AM430" s="156">
        <v>-752.25</v>
      </c>
      <c r="AN430" s="156">
        <v>0</v>
      </c>
      <c r="AO430" s="156">
        <v>0</v>
      </c>
      <c r="AP430" s="156">
        <v>0</v>
      </c>
      <c r="AQ430" s="156">
        <v>0</v>
      </c>
      <c r="AR430" s="156">
        <v>0</v>
      </c>
      <c r="AS430" s="156">
        <v>0</v>
      </c>
      <c r="AT430" s="156">
        <f t="shared" si="77"/>
        <v>18862.7</v>
      </c>
    </row>
    <row r="431" spans="1:46" ht="11.25" hidden="1" outlineLevel="3">
      <c r="A431" s="155" t="s">
        <v>152</v>
      </c>
      <c r="B431" s="155" t="s">
        <v>153</v>
      </c>
      <c r="C431" s="155" t="s">
        <v>133</v>
      </c>
      <c r="D431" s="156" t="s">
        <v>144</v>
      </c>
      <c r="E431" s="156" t="s">
        <v>139</v>
      </c>
      <c r="F431" s="157">
        <v>0</v>
      </c>
      <c r="G431" s="157">
        <v>-106197</v>
      </c>
      <c r="H431" s="156">
        <v>-11198.99</v>
      </c>
      <c r="I431" s="156">
        <v>0</v>
      </c>
      <c r="J431" s="156">
        <v>0</v>
      </c>
      <c r="K431" s="156">
        <v>-498.11</v>
      </c>
      <c r="L431" s="156">
        <v>0</v>
      </c>
      <c r="M431" s="156">
        <v>0</v>
      </c>
      <c r="N431" s="156">
        <f t="shared" si="76"/>
        <v>-498.11</v>
      </c>
      <c r="O431" s="156">
        <v>0</v>
      </c>
      <c r="P431" s="156">
        <v>0</v>
      </c>
      <c r="Q431" s="156">
        <v>0</v>
      </c>
      <c r="R431" s="156">
        <v>0</v>
      </c>
      <c r="S431" s="156">
        <v>0</v>
      </c>
      <c r="T431" s="156">
        <v>0</v>
      </c>
      <c r="U431" s="156">
        <v>0</v>
      </c>
      <c r="V431" s="156">
        <v>0</v>
      </c>
      <c r="W431" s="156">
        <v>0</v>
      </c>
      <c r="X431" s="156">
        <v>0</v>
      </c>
      <c r="Y431" s="156">
        <v>0</v>
      </c>
      <c r="Z431" s="156">
        <v>-75.38</v>
      </c>
      <c r="AA431" s="156">
        <v>0</v>
      </c>
      <c r="AB431" s="156">
        <v>0</v>
      </c>
      <c r="AC431" s="156">
        <v>0</v>
      </c>
      <c r="AD431" s="156">
        <v>0</v>
      </c>
      <c r="AE431" s="156">
        <v>0</v>
      </c>
      <c r="AF431" s="156">
        <v>0</v>
      </c>
      <c r="AG431" s="156">
        <v>0</v>
      </c>
      <c r="AH431" s="156">
        <v>0</v>
      </c>
      <c r="AI431" s="156">
        <v>0</v>
      </c>
      <c r="AJ431" s="156">
        <v>0</v>
      </c>
      <c r="AK431" s="156">
        <v>0</v>
      </c>
      <c r="AL431" s="156">
        <v>0</v>
      </c>
      <c r="AM431" s="156">
        <v>533.1</v>
      </c>
      <c r="AN431" s="156">
        <v>0</v>
      </c>
      <c r="AO431" s="156">
        <v>0</v>
      </c>
      <c r="AP431" s="156">
        <v>0</v>
      </c>
      <c r="AQ431" s="156">
        <v>0</v>
      </c>
      <c r="AR431" s="156">
        <v>0</v>
      </c>
      <c r="AS431" s="156">
        <v>0</v>
      </c>
      <c r="AT431" s="156">
        <f t="shared" si="77"/>
        <v>-11239.38</v>
      </c>
    </row>
    <row r="432" spans="1:46" ht="11.25" hidden="1" outlineLevel="3">
      <c r="A432" s="155" t="s">
        <v>152</v>
      </c>
      <c r="B432" s="155" t="s">
        <v>154</v>
      </c>
      <c r="C432" s="155" t="s">
        <v>133</v>
      </c>
      <c r="D432" s="156" t="s">
        <v>144</v>
      </c>
      <c r="E432" s="156" t="s">
        <v>139</v>
      </c>
      <c r="F432" s="157">
        <v>0</v>
      </c>
      <c r="G432" s="157">
        <v>70174</v>
      </c>
      <c r="H432" s="156">
        <v>10604.31</v>
      </c>
      <c r="I432" s="156">
        <v>0</v>
      </c>
      <c r="J432" s="156">
        <v>0</v>
      </c>
      <c r="K432" s="156">
        <v>152.22999999999999</v>
      </c>
      <c r="L432" s="156">
        <v>0</v>
      </c>
      <c r="M432" s="156">
        <v>0</v>
      </c>
      <c r="N432" s="156">
        <f t="shared" si="76"/>
        <v>152.22999999999999</v>
      </c>
      <c r="O432" s="156">
        <v>0</v>
      </c>
      <c r="P432" s="156">
        <v>0</v>
      </c>
      <c r="Q432" s="156">
        <v>0</v>
      </c>
      <c r="R432" s="156">
        <v>0</v>
      </c>
      <c r="S432" s="156">
        <v>0</v>
      </c>
      <c r="T432" s="156">
        <v>0</v>
      </c>
      <c r="U432" s="156">
        <v>0</v>
      </c>
      <c r="V432" s="156">
        <v>0</v>
      </c>
      <c r="W432" s="156">
        <v>0</v>
      </c>
      <c r="X432" s="156">
        <v>0</v>
      </c>
      <c r="Y432" s="156">
        <v>0</v>
      </c>
      <c r="Z432" s="156">
        <v>49.82</v>
      </c>
      <c r="AA432" s="156">
        <v>0</v>
      </c>
      <c r="AB432" s="156">
        <v>0</v>
      </c>
      <c r="AC432" s="156">
        <v>0</v>
      </c>
      <c r="AD432" s="156">
        <v>0</v>
      </c>
      <c r="AE432" s="156">
        <v>0</v>
      </c>
      <c r="AF432" s="156">
        <v>0</v>
      </c>
      <c r="AG432" s="156">
        <v>0</v>
      </c>
      <c r="AH432" s="156">
        <v>0</v>
      </c>
      <c r="AI432" s="156">
        <v>0</v>
      </c>
      <c r="AJ432" s="156">
        <v>0</v>
      </c>
      <c r="AK432" s="156">
        <v>0</v>
      </c>
      <c r="AL432" s="156">
        <v>0</v>
      </c>
      <c r="AM432" s="156">
        <v>-352.3</v>
      </c>
      <c r="AN432" s="156">
        <v>0</v>
      </c>
      <c r="AO432" s="156">
        <v>0</v>
      </c>
      <c r="AP432" s="156">
        <v>0</v>
      </c>
      <c r="AQ432" s="156">
        <v>0</v>
      </c>
      <c r="AR432" s="156">
        <v>-280.88</v>
      </c>
      <c r="AS432" s="156">
        <v>-22542.120343839499</v>
      </c>
      <c r="AT432" s="156">
        <f t="shared" si="77"/>
        <v>10454.06</v>
      </c>
    </row>
    <row r="433" spans="1:46" ht="11.25" hidden="1" outlineLevel="3">
      <c r="A433" s="155" t="s">
        <v>152</v>
      </c>
      <c r="B433" s="155" t="s">
        <v>154</v>
      </c>
      <c r="C433" s="155" t="s">
        <v>133</v>
      </c>
      <c r="D433" s="156" t="s">
        <v>144</v>
      </c>
      <c r="E433" s="156" t="s">
        <v>139</v>
      </c>
      <c r="F433" s="157">
        <v>0</v>
      </c>
      <c r="G433" s="157">
        <v>396790</v>
      </c>
      <c r="H433" s="156">
        <v>50359.72</v>
      </c>
      <c r="I433" s="156">
        <v>0</v>
      </c>
      <c r="J433" s="156">
        <v>0</v>
      </c>
      <c r="K433" s="156">
        <v>1011.06</v>
      </c>
      <c r="L433" s="156">
        <v>0</v>
      </c>
      <c r="M433" s="156">
        <v>0</v>
      </c>
      <c r="N433" s="156">
        <f t="shared" si="76"/>
        <v>1011.06</v>
      </c>
      <c r="O433" s="156">
        <v>0</v>
      </c>
      <c r="P433" s="156">
        <v>0</v>
      </c>
      <c r="Q433" s="156">
        <v>0</v>
      </c>
      <c r="R433" s="156">
        <v>0</v>
      </c>
      <c r="S433" s="156">
        <v>0</v>
      </c>
      <c r="T433" s="156">
        <v>0</v>
      </c>
      <c r="U433" s="156">
        <v>0</v>
      </c>
      <c r="V433" s="156">
        <v>0</v>
      </c>
      <c r="W433" s="156">
        <v>0</v>
      </c>
      <c r="X433" s="156">
        <v>0</v>
      </c>
      <c r="Y433" s="156">
        <v>0</v>
      </c>
      <c r="Z433" s="156">
        <v>281.70999999999998</v>
      </c>
      <c r="AA433" s="156">
        <v>0</v>
      </c>
      <c r="AB433" s="156">
        <v>0</v>
      </c>
      <c r="AC433" s="156">
        <v>0</v>
      </c>
      <c r="AD433" s="156">
        <v>0</v>
      </c>
      <c r="AE433" s="156">
        <v>0</v>
      </c>
      <c r="AF433" s="156">
        <v>0</v>
      </c>
      <c r="AG433" s="156">
        <v>0</v>
      </c>
      <c r="AH433" s="156">
        <v>0</v>
      </c>
      <c r="AI433" s="156">
        <v>0</v>
      </c>
      <c r="AJ433" s="156">
        <v>0</v>
      </c>
      <c r="AK433" s="156">
        <v>0</v>
      </c>
      <c r="AL433" s="156">
        <v>0</v>
      </c>
      <c r="AM433" s="156">
        <v>-1991.92</v>
      </c>
      <c r="AN433" s="156">
        <v>0</v>
      </c>
      <c r="AO433" s="156">
        <v>0</v>
      </c>
      <c r="AP433" s="156">
        <v>0</v>
      </c>
      <c r="AQ433" s="156">
        <v>0</v>
      </c>
      <c r="AR433" s="156">
        <v>0</v>
      </c>
      <c r="AS433" s="156">
        <v>0</v>
      </c>
      <c r="AT433" s="156">
        <f t="shared" si="77"/>
        <v>49660.57</v>
      </c>
    </row>
    <row r="434" spans="1:46" ht="11.25" hidden="1" outlineLevel="3">
      <c r="A434" s="155" t="s">
        <v>152</v>
      </c>
      <c r="B434" s="155" t="s">
        <v>155</v>
      </c>
      <c r="C434" s="155" t="s">
        <v>133</v>
      </c>
      <c r="D434" s="156" t="s">
        <v>144</v>
      </c>
      <c r="E434" s="156" t="s">
        <v>139</v>
      </c>
      <c r="F434" s="157">
        <v>0</v>
      </c>
      <c r="G434" s="157">
        <v>277138</v>
      </c>
      <c r="H434" s="156">
        <v>34715.199999999997</v>
      </c>
      <c r="I434" s="156">
        <v>0</v>
      </c>
      <c r="J434" s="156">
        <v>0</v>
      </c>
      <c r="K434" s="156">
        <v>637.79</v>
      </c>
      <c r="L434" s="156">
        <v>0</v>
      </c>
      <c r="M434" s="156">
        <v>0</v>
      </c>
      <c r="N434" s="156">
        <f t="shared" si="76"/>
        <v>637.79</v>
      </c>
      <c r="O434" s="156">
        <v>0</v>
      </c>
      <c r="P434" s="156">
        <v>0</v>
      </c>
      <c r="Q434" s="156">
        <v>0</v>
      </c>
      <c r="R434" s="156">
        <v>0</v>
      </c>
      <c r="S434" s="156">
        <v>0</v>
      </c>
      <c r="T434" s="156">
        <v>0</v>
      </c>
      <c r="U434" s="156">
        <v>0</v>
      </c>
      <c r="V434" s="156">
        <v>0</v>
      </c>
      <c r="W434" s="156">
        <v>0</v>
      </c>
      <c r="X434" s="156">
        <v>0</v>
      </c>
      <c r="Y434" s="156">
        <v>0</v>
      </c>
      <c r="Z434" s="156">
        <v>196.78</v>
      </c>
      <c r="AA434" s="156">
        <v>0</v>
      </c>
      <c r="AB434" s="156">
        <v>0</v>
      </c>
      <c r="AC434" s="156">
        <v>0</v>
      </c>
      <c r="AD434" s="156">
        <v>0</v>
      </c>
      <c r="AE434" s="156">
        <v>0</v>
      </c>
      <c r="AF434" s="156">
        <v>0</v>
      </c>
      <c r="AG434" s="156">
        <v>0</v>
      </c>
      <c r="AH434" s="156">
        <v>0</v>
      </c>
      <c r="AI434" s="156">
        <v>0</v>
      </c>
      <c r="AJ434" s="156">
        <v>0</v>
      </c>
      <c r="AK434" s="156">
        <v>0</v>
      </c>
      <c r="AL434" s="156">
        <v>0</v>
      </c>
      <c r="AM434" s="156">
        <v>-1391.29</v>
      </c>
      <c r="AN434" s="156">
        <v>0</v>
      </c>
      <c r="AO434" s="156">
        <v>0</v>
      </c>
      <c r="AP434" s="156">
        <v>0</v>
      </c>
      <c r="AQ434" s="156">
        <v>0</v>
      </c>
      <c r="AR434" s="156">
        <v>0</v>
      </c>
      <c r="AS434" s="156">
        <v>0</v>
      </c>
      <c r="AT434" s="156">
        <f t="shared" si="77"/>
        <v>34158.479999999996</v>
      </c>
    </row>
    <row r="435" spans="1:46" ht="11.25" hidden="1" outlineLevel="3">
      <c r="A435" s="155" t="s">
        <v>152</v>
      </c>
      <c r="B435" s="155" t="s">
        <v>155</v>
      </c>
      <c r="C435" s="155" t="s">
        <v>133</v>
      </c>
      <c r="D435" s="156" t="s">
        <v>144</v>
      </c>
      <c r="E435" s="156" t="s">
        <v>139</v>
      </c>
      <c r="F435" s="157">
        <v>0</v>
      </c>
      <c r="G435" s="157">
        <v>189468</v>
      </c>
      <c r="H435" s="156">
        <v>25648.78</v>
      </c>
      <c r="I435" s="156">
        <v>0</v>
      </c>
      <c r="J435" s="156">
        <v>0</v>
      </c>
      <c r="K435" s="156">
        <v>34.83</v>
      </c>
      <c r="L435" s="156">
        <v>0</v>
      </c>
      <c r="M435" s="156">
        <v>0</v>
      </c>
      <c r="N435" s="156">
        <f t="shared" si="76"/>
        <v>34.83</v>
      </c>
      <c r="O435" s="156">
        <v>0</v>
      </c>
      <c r="P435" s="156">
        <v>0</v>
      </c>
      <c r="Q435" s="156">
        <v>0</v>
      </c>
      <c r="R435" s="156">
        <v>0</v>
      </c>
      <c r="S435" s="156">
        <v>0</v>
      </c>
      <c r="T435" s="156">
        <v>0</v>
      </c>
      <c r="U435" s="156">
        <v>0</v>
      </c>
      <c r="V435" s="156">
        <v>0</v>
      </c>
      <c r="W435" s="156">
        <v>0</v>
      </c>
      <c r="X435" s="156">
        <v>0</v>
      </c>
      <c r="Y435" s="156">
        <v>0</v>
      </c>
      <c r="Z435" s="156">
        <v>134.55000000000001</v>
      </c>
      <c r="AA435" s="156">
        <v>0</v>
      </c>
      <c r="AB435" s="156">
        <v>0</v>
      </c>
      <c r="AC435" s="156">
        <v>0</v>
      </c>
      <c r="AD435" s="156">
        <v>0</v>
      </c>
      <c r="AE435" s="156">
        <v>0</v>
      </c>
      <c r="AF435" s="156">
        <v>0</v>
      </c>
      <c r="AG435" s="156">
        <v>0</v>
      </c>
      <c r="AH435" s="156">
        <v>0</v>
      </c>
      <c r="AI435" s="156">
        <v>0</v>
      </c>
      <c r="AJ435" s="156">
        <v>0</v>
      </c>
      <c r="AK435" s="156">
        <v>0</v>
      </c>
      <c r="AL435" s="156">
        <v>0</v>
      </c>
      <c r="AM435" s="156">
        <v>-951.21</v>
      </c>
      <c r="AN435" s="156">
        <v>0</v>
      </c>
      <c r="AO435" s="156">
        <v>0</v>
      </c>
      <c r="AP435" s="156">
        <v>0</v>
      </c>
      <c r="AQ435" s="156">
        <v>0</v>
      </c>
      <c r="AR435" s="156">
        <v>0</v>
      </c>
      <c r="AS435" s="156">
        <v>0</v>
      </c>
      <c r="AT435" s="156">
        <f t="shared" si="77"/>
        <v>24866.95</v>
      </c>
    </row>
    <row r="436" spans="1:46" ht="11.25" hidden="1" outlineLevel="3">
      <c r="A436" s="155" t="s">
        <v>152</v>
      </c>
      <c r="B436" s="155" t="s">
        <v>157</v>
      </c>
      <c r="C436" s="155" t="s">
        <v>133</v>
      </c>
      <c r="D436" s="156" t="s">
        <v>144</v>
      </c>
      <c r="E436" s="156" t="s">
        <v>139</v>
      </c>
      <c r="F436" s="157">
        <v>0</v>
      </c>
      <c r="G436" s="157">
        <v>118288</v>
      </c>
      <c r="H436" s="156">
        <v>16013.88</v>
      </c>
      <c r="I436" s="156">
        <v>0</v>
      </c>
      <c r="J436" s="156">
        <v>0</v>
      </c>
      <c r="K436" s="156">
        <v>183.68</v>
      </c>
      <c r="L436" s="156">
        <v>0</v>
      </c>
      <c r="M436" s="156">
        <v>0</v>
      </c>
      <c r="N436" s="156">
        <f t="shared" si="76"/>
        <v>183.68</v>
      </c>
      <c r="O436" s="156">
        <v>0</v>
      </c>
      <c r="P436" s="156">
        <v>0</v>
      </c>
      <c r="Q436" s="156">
        <v>0</v>
      </c>
      <c r="R436" s="156">
        <v>0</v>
      </c>
      <c r="S436" s="156">
        <v>0</v>
      </c>
      <c r="T436" s="156">
        <v>0</v>
      </c>
      <c r="U436" s="156">
        <v>0</v>
      </c>
      <c r="V436" s="156">
        <v>0</v>
      </c>
      <c r="W436" s="156">
        <v>0</v>
      </c>
      <c r="X436" s="156">
        <v>0</v>
      </c>
      <c r="Y436" s="156">
        <v>0</v>
      </c>
      <c r="Z436" s="156">
        <v>83.97</v>
      </c>
      <c r="AA436" s="156">
        <v>0</v>
      </c>
      <c r="AB436" s="156">
        <v>0</v>
      </c>
      <c r="AC436" s="156">
        <v>0</v>
      </c>
      <c r="AD436" s="156">
        <v>0</v>
      </c>
      <c r="AE436" s="156">
        <v>0</v>
      </c>
      <c r="AF436" s="156">
        <v>0</v>
      </c>
      <c r="AG436" s="156">
        <v>0</v>
      </c>
      <c r="AH436" s="156">
        <v>0</v>
      </c>
      <c r="AI436" s="156">
        <v>0</v>
      </c>
      <c r="AJ436" s="156">
        <v>0</v>
      </c>
      <c r="AK436" s="156">
        <v>0</v>
      </c>
      <c r="AL436" s="156">
        <v>0</v>
      </c>
      <c r="AM436" s="156">
        <v>-593.83000000000004</v>
      </c>
      <c r="AN436" s="156">
        <v>0</v>
      </c>
      <c r="AO436" s="156">
        <v>0</v>
      </c>
      <c r="AP436" s="156">
        <v>0</v>
      </c>
      <c r="AQ436" s="156">
        <v>0</v>
      </c>
      <c r="AR436" s="156">
        <v>0</v>
      </c>
      <c r="AS436" s="156">
        <v>0</v>
      </c>
      <c r="AT436" s="156">
        <f t="shared" si="77"/>
        <v>15687.699999999999</v>
      </c>
    </row>
    <row r="437" spans="1:46" ht="11.25" hidden="1" outlineLevel="3">
      <c r="A437" s="155" t="s">
        <v>152</v>
      </c>
      <c r="B437" s="155" t="s">
        <v>157</v>
      </c>
      <c r="C437" s="155" t="s">
        <v>133</v>
      </c>
      <c r="D437" s="156" t="s">
        <v>144</v>
      </c>
      <c r="E437" s="156" t="s">
        <v>139</v>
      </c>
      <c r="F437" s="157">
        <v>0</v>
      </c>
      <c r="G437" s="157">
        <v>20299</v>
      </c>
      <c r="H437" s="156">
        <v>3249.71</v>
      </c>
      <c r="I437" s="156">
        <v>0</v>
      </c>
      <c r="J437" s="156">
        <v>0</v>
      </c>
      <c r="K437" s="156">
        <v>25.5</v>
      </c>
      <c r="L437" s="156">
        <v>0</v>
      </c>
      <c r="M437" s="156">
        <v>0</v>
      </c>
      <c r="N437" s="156">
        <f t="shared" si="76"/>
        <v>25.5</v>
      </c>
      <c r="O437" s="156">
        <v>0</v>
      </c>
      <c r="P437" s="156">
        <v>0</v>
      </c>
      <c r="Q437" s="156">
        <v>0</v>
      </c>
      <c r="R437" s="156">
        <v>0</v>
      </c>
      <c r="S437" s="156">
        <v>0</v>
      </c>
      <c r="T437" s="156">
        <v>0</v>
      </c>
      <c r="U437" s="156">
        <v>0</v>
      </c>
      <c r="V437" s="156">
        <v>0</v>
      </c>
      <c r="W437" s="156">
        <v>0</v>
      </c>
      <c r="X437" s="156">
        <v>0</v>
      </c>
      <c r="Y437" s="156">
        <v>0</v>
      </c>
      <c r="Z437" s="156">
        <v>14.39</v>
      </c>
      <c r="AA437" s="156">
        <v>0</v>
      </c>
      <c r="AB437" s="156">
        <v>0</v>
      </c>
      <c r="AC437" s="156">
        <v>0</v>
      </c>
      <c r="AD437" s="156">
        <v>0</v>
      </c>
      <c r="AE437" s="156">
        <v>0</v>
      </c>
      <c r="AF437" s="156">
        <v>0</v>
      </c>
      <c r="AG437" s="156">
        <v>0</v>
      </c>
      <c r="AH437" s="156">
        <v>0</v>
      </c>
      <c r="AI437" s="156">
        <v>0</v>
      </c>
      <c r="AJ437" s="156">
        <v>0</v>
      </c>
      <c r="AK437" s="156">
        <v>0</v>
      </c>
      <c r="AL437" s="156">
        <v>0</v>
      </c>
      <c r="AM437" s="156">
        <v>-101.88</v>
      </c>
      <c r="AN437" s="156">
        <v>0</v>
      </c>
      <c r="AO437" s="156">
        <v>0</v>
      </c>
      <c r="AP437" s="156">
        <v>0</v>
      </c>
      <c r="AQ437" s="156">
        <v>0</v>
      </c>
      <c r="AR437" s="156">
        <v>0</v>
      </c>
      <c r="AS437" s="156">
        <v>0</v>
      </c>
      <c r="AT437" s="156">
        <f t="shared" si="77"/>
        <v>3187.72</v>
      </c>
    </row>
    <row r="438" spans="1:46" ht="11.25" hidden="1" outlineLevel="3">
      <c r="A438" s="155" t="s">
        <v>152</v>
      </c>
      <c r="B438" s="155" t="s">
        <v>137</v>
      </c>
      <c r="C438" s="155" t="s">
        <v>133</v>
      </c>
      <c r="D438" s="156" t="s">
        <v>144</v>
      </c>
      <c r="E438" s="156" t="s">
        <v>139</v>
      </c>
      <c r="F438" s="157">
        <v>0</v>
      </c>
      <c r="G438" s="157">
        <v>86392</v>
      </c>
      <c r="H438" s="156">
        <v>13171.18</v>
      </c>
      <c r="I438" s="156">
        <v>0</v>
      </c>
      <c r="J438" s="156">
        <v>0</v>
      </c>
      <c r="K438" s="156">
        <v>19.03</v>
      </c>
      <c r="L438" s="156">
        <v>0</v>
      </c>
      <c r="M438" s="156">
        <v>0</v>
      </c>
      <c r="N438" s="156">
        <f t="shared" si="76"/>
        <v>19.03</v>
      </c>
      <c r="O438" s="156">
        <v>0</v>
      </c>
      <c r="P438" s="156">
        <v>0</v>
      </c>
      <c r="Q438" s="156">
        <v>0</v>
      </c>
      <c r="R438" s="156">
        <v>0</v>
      </c>
      <c r="S438" s="156">
        <v>0</v>
      </c>
      <c r="T438" s="156">
        <v>0</v>
      </c>
      <c r="U438" s="156">
        <v>0</v>
      </c>
      <c r="V438" s="156">
        <v>0</v>
      </c>
      <c r="W438" s="156">
        <v>0</v>
      </c>
      <c r="X438" s="156">
        <v>0</v>
      </c>
      <c r="Y438" s="156">
        <v>0</v>
      </c>
      <c r="Z438" s="156">
        <v>61.31</v>
      </c>
      <c r="AA438" s="156">
        <v>0</v>
      </c>
      <c r="AB438" s="156">
        <v>0</v>
      </c>
      <c r="AC438" s="156">
        <v>0</v>
      </c>
      <c r="AD438" s="156">
        <v>0</v>
      </c>
      <c r="AE438" s="156">
        <v>0</v>
      </c>
      <c r="AF438" s="156">
        <v>0</v>
      </c>
      <c r="AG438" s="156">
        <v>0</v>
      </c>
      <c r="AH438" s="156">
        <v>0</v>
      </c>
      <c r="AI438" s="156">
        <v>0</v>
      </c>
      <c r="AJ438" s="156">
        <v>0</v>
      </c>
      <c r="AK438" s="156">
        <v>0</v>
      </c>
      <c r="AL438" s="156">
        <v>0</v>
      </c>
      <c r="AM438" s="156">
        <v>-433.71</v>
      </c>
      <c r="AN438" s="156">
        <v>0</v>
      </c>
      <c r="AO438" s="156">
        <v>0</v>
      </c>
      <c r="AP438" s="156">
        <v>0</v>
      </c>
      <c r="AQ438" s="156">
        <v>0</v>
      </c>
      <c r="AR438" s="156">
        <v>0</v>
      </c>
      <c r="AS438" s="156">
        <v>0</v>
      </c>
      <c r="AT438" s="156">
        <f t="shared" si="77"/>
        <v>12817.810000000001</v>
      </c>
    </row>
    <row r="439" spans="1:46" ht="11.25" hidden="1" outlineLevel="3">
      <c r="A439" s="155" t="s">
        <v>152</v>
      </c>
      <c r="B439" s="155" t="s">
        <v>137</v>
      </c>
      <c r="C439" s="155" t="s">
        <v>133</v>
      </c>
      <c r="D439" s="156" t="s">
        <v>144</v>
      </c>
      <c r="E439" s="156" t="s">
        <v>139</v>
      </c>
      <c r="F439" s="157">
        <v>0</v>
      </c>
      <c r="G439" s="157">
        <v>147216</v>
      </c>
      <c r="H439" s="156">
        <v>19510.37</v>
      </c>
      <c r="I439" s="156">
        <v>0</v>
      </c>
      <c r="J439" s="156">
        <v>0</v>
      </c>
      <c r="K439" s="156">
        <v>180.79</v>
      </c>
      <c r="L439" s="156">
        <v>0</v>
      </c>
      <c r="M439" s="156">
        <v>0</v>
      </c>
      <c r="N439" s="156">
        <f t="shared" si="76"/>
        <v>180.79</v>
      </c>
      <c r="O439" s="156">
        <v>0</v>
      </c>
      <c r="P439" s="156">
        <v>0</v>
      </c>
      <c r="Q439" s="156">
        <v>0</v>
      </c>
      <c r="R439" s="156">
        <v>0</v>
      </c>
      <c r="S439" s="156">
        <v>0</v>
      </c>
      <c r="T439" s="156">
        <v>0</v>
      </c>
      <c r="U439" s="156">
        <v>0</v>
      </c>
      <c r="V439" s="156">
        <v>0</v>
      </c>
      <c r="W439" s="156">
        <v>0</v>
      </c>
      <c r="X439" s="156">
        <v>0</v>
      </c>
      <c r="Y439" s="156">
        <v>0</v>
      </c>
      <c r="Z439" s="156">
        <v>104.52</v>
      </c>
      <c r="AA439" s="156">
        <v>0</v>
      </c>
      <c r="AB439" s="156">
        <v>0</v>
      </c>
      <c r="AC439" s="156">
        <v>0</v>
      </c>
      <c r="AD439" s="156">
        <v>0</v>
      </c>
      <c r="AE439" s="156">
        <v>0</v>
      </c>
      <c r="AF439" s="156">
        <v>0</v>
      </c>
      <c r="AG439" s="156">
        <v>0</v>
      </c>
      <c r="AH439" s="156">
        <v>0</v>
      </c>
      <c r="AI439" s="156">
        <v>0</v>
      </c>
      <c r="AJ439" s="156">
        <v>0</v>
      </c>
      <c r="AK439" s="156">
        <v>0</v>
      </c>
      <c r="AL439" s="156">
        <v>0</v>
      </c>
      <c r="AM439" s="156">
        <v>-739.07</v>
      </c>
      <c r="AN439" s="156">
        <v>0</v>
      </c>
      <c r="AO439" s="156">
        <v>0</v>
      </c>
      <c r="AP439" s="156">
        <v>0</v>
      </c>
      <c r="AQ439" s="156">
        <v>0</v>
      </c>
      <c r="AR439" s="156">
        <v>0</v>
      </c>
      <c r="AS439" s="156">
        <v>0</v>
      </c>
      <c r="AT439" s="156">
        <f t="shared" si="77"/>
        <v>19056.61</v>
      </c>
    </row>
    <row r="440" spans="1:46" ht="11.25" hidden="1" outlineLevel="3">
      <c r="A440" s="155" t="s">
        <v>152</v>
      </c>
      <c r="B440" s="155" t="s">
        <v>158</v>
      </c>
      <c r="C440" s="155" t="s">
        <v>133</v>
      </c>
      <c r="D440" s="156" t="s">
        <v>144</v>
      </c>
      <c r="E440" s="156" t="s">
        <v>139</v>
      </c>
      <c r="F440" s="157">
        <v>0</v>
      </c>
      <c r="G440" s="157">
        <v>68730</v>
      </c>
      <c r="H440" s="156">
        <v>9709.44</v>
      </c>
      <c r="I440" s="156">
        <v>0</v>
      </c>
      <c r="J440" s="156">
        <v>0</v>
      </c>
      <c r="K440" s="156">
        <v>17.760000000000002</v>
      </c>
      <c r="L440" s="156">
        <v>0</v>
      </c>
      <c r="M440" s="156">
        <v>0</v>
      </c>
      <c r="N440" s="156">
        <f t="shared" si="76"/>
        <v>17.760000000000002</v>
      </c>
      <c r="O440" s="156">
        <v>0</v>
      </c>
      <c r="P440" s="156">
        <v>0</v>
      </c>
      <c r="Q440" s="156">
        <v>0</v>
      </c>
      <c r="R440" s="156">
        <v>0</v>
      </c>
      <c r="S440" s="156">
        <v>0</v>
      </c>
      <c r="T440" s="156">
        <v>0</v>
      </c>
      <c r="U440" s="156">
        <v>0</v>
      </c>
      <c r="V440" s="156">
        <v>0</v>
      </c>
      <c r="W440" s="156">
        <v>0</v>
      </c>
      <c r="X440" s="156">
        <v>0</v>
      </c>
      <c r="Y440" s="156">
        <v>0</v>
      </c>
      <c r="Z440" s="156">
        <v>48.82</v>
      </c>
      <c r="AA440" s="156">
        <v>0</v>
      </c>
      <c r="AB440" s="156">
        <v>0</v>
      </c>
      <c r="AC440" s="156">
        <v>0</v>
      </c>
      <c r="AD440" s="156">
        <v>0</v>
      </c>
      <c r="AE440" s="156">
        <v>0</v>
      </c>
      <c r="AF440" s="156">
        <v>0</v>
      </c>
      <c r="AG440" s="156">
        <v>0</v>
      </c>
      <c r="AH440" s="156">
        <v>0</v>
      </c>
      <c r="AI440" s="156">
        <v>0</v>
      </c>
      <c r="AJ440" s="156">
        <v>0</v>
      </c>
      <c r="AK440" s="156">
        <v>0</v>
      </c>
      <c r="AL440" s="156">
        <v>0</v>
      </c>
      <c r="AM440" s="156">
        <v>-345.02</v>
      </c>
      <c r="AN440" s="156">
        <v>0</v>
      </c>
      <c r="AO440" s="156">
        <v>0</v>
      </c>
      <c r="AP440" s="156">
        <v>0</v>
      </c>
      <c r="AQ440" s="156">
        <v>0</v>
      </c>
      <c r="AR440" s="156">
        <v>0</v>
      </c>
      <c r="AS440" s="156">
        <v>0</v>
      </c>
      <c r="AT440" s="156">
        <f t="shared" si="77"/>
        <v>9431</v>
      </c>
    </row>
    <row r="441" spans="1:46" ht="11.25" hidden="1" outlineLevel="3">
      <c r="A441" s="155" t="s">
        <v>152</v>
      </c>
      <c r="B441" s="155" t="s">
        <v>158</v>
      </c>
      <c r="C441" s="155" t="s">
        <v>133</v>
      </c>
      <c r="D441" s="156" t="s">
        <v>144</v>
      </c>
      <c r="E441" s="156" t="s">
        <v>139</v>
      </c>
      <c r="F441" s="157">
        <v>0</v>
      </c>
      <c r="G441" s="157">
        <v>51893</v>
      </c>
      <c r="H441" s="156">
        <v>8502.66</v>
      </c>
      <c r="I441" s="156">
        <v>0</v>
      </c>
      <c r="J441" s="156">
        <v>0</v>
      </c>
      <c r="K441" s="156">
        <v>-218.88</v>
      </c>
      <c r="L441" s="156">
        <v>0</v>
      </c>
      <c r="M441" s="156">
        <v>0</v>
      </c>
      <c r="N441" s="156">
        <f t="shared" si="76"/>
        <v>-218.88</v>
      </c>
      <c r="O441" s="156">
        <v>0</v>
      </c>
      <c r="P441" s="156">
        <v>0</v>
      </c>
      <c r="Q441" s="156">
        <v>0</v>
      </c>
      <c r="R441" s="156">
        <v>0</v>
      </c>
      <c r="S441" s="156">
        <v>0</v>
      </c>
      <c r="T441" s="156">
        <v>0</v>
      </c>
      <c r="U441" s="156">
        <v>0</v>
      </c>
      <c r="V441" s="156">
        <v>0</v>
      </c>
      <c r="W441" s="156">
        <v>0</v>
      </c>
      <c r="X441" s="156">
        <v>0</v>
      </c>
      <c r="Y441" s="156">
        <v>0</v>
      </c>
      <c r="Z441" s="156">
        <v>36.83</v>
      </c>
      <c r="AA441" s="156">
        <v>0</v>
      </c>
      <c r="AB441" s="156">
        <v>0</v>
      </c>
      <c r="AC441" s="156">
        <v>0</v>
      </c>
      <c r="AD441" s="156">
        <v>0</v>
      </c>
      <c r="AE441" s="156">
        <v>0</v>
      </c>
      <c r="AF441" s="156">
        <v>0</v>
      </c>
      <c r="AG441" s="156">
        <v>0</v>
      </c>
      <c r="AH441" s="156">
        <v>0</v>
      </c>
      <c r="AI441" s="156">
        <v>0</v>
      </c>
      <c r="AJ441" s="156">
        <v>0</v>
      </c>
      <c r="AK441" s="156">
        <v>0</v>
      </c>
      <c r="AL441" s="156">
        <v>0</v>
      </c>
      <c r="AM441" s="156">
        <v>-260.52999999999997</v>
      </c>
      <c r="AN441" s="156">
        <v>0</v>
      </c>
      <c r="AO441" s="156">
        <v>0</v>
      </c>
      <c r="AP441" s="156">
        <v>0</v>
      </c>
      <c r="AQ441" s="156">
        <v>0</v>
      </c>
      <c r="AR441" s="156">
        <v>0</v>
      </c>
      <c r="AS441" s="156">
        <v>0</v>
      </c>
      <c r="AT441" s="156">
        <f t="shared" si="77"/>
        <v>8060.0800000000008</v>
      </c>
    </row>
    <row r="442" spans="1:46" ht="11.25" hidden="1" outlineLevel="3">
      <c r="A442" s="155" t="s">
        <v>152</v>
      </c>
      <c r="B442" s="155" t="s">
        <v>159</v>
      </c>
      <c r="C442" s="155" t="s">
        <v>133</v>
      </c>
      <c r="D442" s="156" t="s">
        <v>144</v>
      </c>
      <c r="E442" s="156" t="s">
        <v>139</v>
      </c>
      <c r="F442" s="157">
        <v>0</v>
      </c>
      <c r="G442" s="157">
        <v>21126</v>
      </c>
      <c r="H442" s="156">
        <v>2911.89</v>
      </c>
      <c r="I442" s="156">
        <v>0</v>
      </c>
      <c r="J442" s="156">
        <v>0</v>
      </c>
      <c r="K442" s="156">
        <v>48.57</v>
      </c>
      <c r="L442" s="156">
        <v>0</v>
      </c>
      <c r="M442" s="156">
        <v>0</v>
      </c>
      <c r="N442" s="156">
        <f t="shared" si="76"/>
        <v>48.57</v>
      </c>
      <c r="O442" s="156">
        <v>0</v>
      </c>
      <c r="P442" s="156">
        <v>0</v>
      </c>
      <c r="Q442" s="156">
        <v>0</v>
      </c>
      <c r="R442" s="156">
        <v>0</v>
      </c>
      <c r="S442" s="156">
        <v>0</v>
      </c>
      <c r="T442" s="156">
        <v>0</v>
      </c>
      <c r="U442" s="156">
        <v>0</v>
      </c>
      <c r="V442" s="156">
        <v>0</v>
      </c>
      <c r="W442" s="156">
        <v>0</v>
      </c>
      <c r="X442" s="156">
        <v>0</v>
      </c>
      <c r="Y442" s="156">
        <v>0</v>
      </c>
      <c r="Z442" s="156">
        <v>14.99</v>
      </c>
      <c r="AA442" s="156">
        <v>0</v>
      </c>
      <c r="AB442" s="156">
        <v>0</v>
      </c>
      <c r="AC442" s="156">
        <v>0</v>
      </c>
      <c r="AD442" s="156">
        <v>0</v>
      </c>
      <c r="AE442" s="156">
        <v>0</v>
      </c>
      <c r="AF442" s="156">
        <v>0</v>
      </c>
      <c r="AG442" s="156">
        <v>0</v>
      </c>
      <c r="AH442" s="156">
        <v>0</v>
      </c>
      <c r="AI442" s="156">
        <v>0</v>
      </c>
      <c r="AJ442" s="156">
        <v>0</v>
      </c>
      <c r="AK442" s="156">
        <v>0</v>
      </c>
      <c r="AL442" s="156">
        <v>0</v>
      </c>
      <c r="AM442" s="156">
        <v>-106.06</v>
      </c>
      <c r="AN442" s="156">
        <v>0</v>
      </c>
      <c r="AO442" s="156">
        <v>0</v>
      </c>
      <c r="AP442" s="156">
        <v>0</v>
      </c>
      <c r="AQ442" s="156">
        <v>0</v>
      </c>
      <c r="AR442" s="156">
        <v>0</v>
      </c>
      <c r="AS442" s="156">
        <v>0</v>
      </c>
      <c r="AT442" s="156">
        <f t="shared" si="77"/>
        <v>2869.39</v>
      </c>
    </row>
    <row r="443" spans="1:46" ht="11.25" hidden="1" outlineLevel="3">
      <c r="A443" s="155" t="s">
        <v>152</v>
      </c>
      <c r="B443" s="155" t="s">
        <v>159</v>
      </c>
      <c r="C443" s="155" t="s">
        <v>133</v>
      </c>
      <c r="D443" s="156" t="s">
        <v>144</v>
      </c>
      <c r="E443" s="156" t="s">
        <v>139</v>
      </c>
      <c r="F443" s="157">
        <v>0</v>
      </c>
      <c r="G443" s="157">
        <v>-83709</v>
      </c>
      <c r="H443" s="156">
        <v>-9598.5300000000007</v>
      </c>
      <c r="I443" s="156">
        <v>0</v>
      </c>
      <c r="J443" s="156">
        <v>0</v>
      </c>
      <c r="K443" s="156">
        <v>-311.39999999999998</v>
      </c>
      <c r="L443" s="156">
        <v>0</v>
      </c>
      <c r="M443" s="156">
        <v>0</v>
      </c>
      <c r="N443" s="156">
        <f t="shared" si="76"/>
        <v>-311.39999999999998</v>
      </c>
      <c r="O443" s="156">
        <v>0</v>
      </c>
      <c r="P443" s="156">
        <v>0</v>
      </c>
      <c r="Q443" s="156">
        <v>0</v>
      </c>
      <c r="R443" s="156">
        <v>0</v>
      </c>
      <c r="S443" s="156">
        <v>0</v>
      </c>
      <c r="T443" s="156">
        <v>0</v>
      </c>
      <c r="U443" s="156">
        <v>0</v>
      </c>
      <c r="V443" s="156">
        <v>0</v>
      </c>
      <c r="W443" s="156">
        <v>0</v>
      </c>
      <c r="X443" s="156">
        <v>0</v>
      </c>
      <c r="Y443" s="156">
        <v>0</v>
      </c>
      <c r="Z443" s="156">
        <v>-59.45</v>
      </c>
      <c r="AA443" s="156">
        <v>0</v>
      </c>
      <c r="AB443" s="156">
        <v>0</v>
      </c>
      <c r="AC443" s="156">
        <v>0</v>
      </c>
      <c r="AD443" s="156">
        <v>0</v>
      </c>
      <c r="AE443" s="156">
        <v>0</v>
      </c>
      <c r="AF443" s="156">
        <v>0</v>
      </c>
      <c r="AG443" s="156">
        <v>0</v>
      </c>
      <c r="AH443" s="156">
        <v>0</v>
      </c>
      <c r="AI443" s="156">
        <v>0</v>
      </c>
      <c r="AJ443" s="156">
        <v>0</v>
      </c>
      <c r="AK443" s="156">
        <v>0</v>
      </c>
      <c r="AL443" s="156">
        <v>0</v>
      </c>
      <c r="AM443" s="156">
        <v>420.22</v>
      </c>
      <c r="AN443" s="156">
        <v>0</v>
      </c>
      <c r="AO443" s="156">
        <v>0</v>
      </c>
      <c r="AP443" s="156">
        <v>0</v>
      </c>
      <c r="AQ443" s="156">
        <v>0</v>
      </c>
      <c r="AR443" s="156">
        <v>0</v>
      </c>
      <c r="AS443" s="156">
        <v>0</v>
      </c>
      <c r="AT443" s="156">
        <f t="shared" si="77"/>
        <v>-9549.1600000000017</v>
      </c>
    </row>
    <row r="444" spans="1:46" ht="11.25" hidden="1" outlineLevel="3">
      <c r="A444" s="155" t="s">
        <v>152</v>
      </c>
      <c r="B444" s="155" t="s">
        <v>160</v>
      </c>
      <c r="C444" s="155" t="s">
        <v>133</v>
      </c>
      <c r="D444" s="156" t="s">
        <v>144</v>
      </c>
      <c r="E444" s="156" t="s">
        <v>139</v>
      </c>
      <c r="F444" s="157">
        <v>0</v>
      </c>
      <c r="G444" s="157">
        <v>82630</v>
      </c>
      <c r="H444" s="156">
        <v>11536.47</v>
      </c>
      <c r="I444" s="156">
        <v>0</v>
      </c>
      <c r="J444" s="156">
        <v>0</v>
      </c>
      <c r="K444" s="156">
        <v>123.84</v>
      </c>
      <c r="L444" s="156">
        <v>0</v>
      </c>
      <c r="M444" s="156">
        <v>0</v>
      </c>
      <c r="N444" s="156">
        <f t="shared" si="76"/>
        <v>123.84</v>
      </c>
      <c r="O444" s="156">
        <v>0</v>
      </c>
      <c r="P444" s="156">
        <v>0</v>
      </c>
      <c r="Q444" s="156">
        <v>0</v>
      </c>
      <c r="R444" s="156">
        <v>0</v>
      </c>
      <c r="S444" s="156">
        <v>0</v>
      </c>
      <c r="T444" s="156">
        <v>0</v>
      </c>
      <c r="U444" s="156">
        <v>0</v>
      </c>
      <c r="V444" s="156">
        <v>0</v>
      </c>
      <c r="W444" s="156">
        <v>0</v>
      </c>
      <c r="X444" s="156">
        <v>0</v>
      </c>
      <c r="Y444" s="156">
        <v>0</v>
      </c>
      <c r="Z444" s="156">
        <v>58.64</v>
      </c>
      <c r="AA444" s="156">
        <v>0</v>
      </c>
      <c r="AB444" s="156">
        <v>0</v>
      </c>
      <c r="AC444" s="156">
        <v>0</v>
      </c>
      <c r="AD444" s="156">
        <v>0</v>
      </c>
      <c r="AE444" s="156">
        <v>0</v>
      </c>
      <c r="AF444" s="156">
        <v>0</v>
      </c>
      <c r="AG444" s="156">
        <v>0</v>
      </c>
      <c r="AH444" s="156">
        <v>0</v>
      </c>
      <c r="AI444" s="156">
        <v>0</v>
      </c>
      <c r="AJ444" s="156">
        <v>0</v>
      </c>
      <c r="AK444" s="156">
        <v>0</v>
      </c>
      <c r="AL444" s="156">
        <v>0</v>
      </c>
      <c r="AM444" s="156">
        <v>-414.87</v>
      </c>
      <c r="AN444" s="156">
        <v>0</v>
      </c>
      <c r="AO444" s="156">
        <v>0</v>
      </c>
      <c r="AP444" s="156">
        <v>0</v>
      </c>
      <c r="AQ444" s="156">
        <v>0</v>
      </c>
      <c r="AR444" s="156">
        <v>-140.11000000000001</v>
      </c>
      <c r="AS444" s="156">
        <v>-240.38461538461499</v>
      </c>
      <c r="AT444" s="156">
        <f t="shared" si="77"/>
        <v>11304.079999999998</v>
      </c>
    </row>
    <row r="445" spans="1:46" ht="11.25" hidden="1" outlineLevel="3">
      <c r="A445" s="155" t="s">
        <v>152</v>
      </c>
      <c r="B445" s="155" t="s">
        <v>160</v>
      </c>
      <c r="C445" s="155" t="s">
        <v>133</v>
      </c>
      <c r="D445" s="156" t="s">
        <v>144</v>
      </c>
      <c r="E445" s="156" t="s">
        <v>139</v>
      </c>
      <c r="F445" s="157">
        <v>0</v>
      </c>
      <c r="G445" s="157">
        <v>101015</v>
      </c>
      <c r="H445" s="156">
        <v>13725.27</v>
      </c>
      <c r="I445" s="156">
        <v>0</v>
      </c>
      <c r="J445" s="156">
        <v>0</v>
      </c>
      <c r="K445" s="156">
        <v>152.76</v>
      </c>
      <c r="L445" s="156">
        <v>0</v>
      </c>
      <c r="M445" s="156">
        <v>0</v>
      </c>
      <c r="N445" s="156">
        <f t="shared" si="76"/>
        <v>152.76</v>
      </c>
      <c r="O445" s="156">
        <v>0</v>
      </c>
      <c r="P445" s="156">
        <v>0</v>
      </c>
      <c r="Q445" s="156">
        <v>0</v>
      </c>
      <c r="R445" s="156">
        <v>0</v>
      </c>
      <c r="S445" s="156">
        <v>0</v>
      </c>
      <c r="T445" s="156">
        <v>0</v>
      </c>
      <c r="U445" s="156">
        <v>0</v>
      </c>
      <c r="V445" s="156">
        <v>0</v>
      </c>
      <c r="W445" s="156">
        <v>0</v>
      </c>
      <c r="X445" s="156">
        <v>0</v>
      </c>
      <c r="Y445" s="156">
        <v>0</v>
      </c>
      <c r="Z445" s="156">
        <v>71.680000000000007</v>
      </c>
      <c r="AA445" s="156">
        <v>0</v>
      </c>
      <c r="AB445" s="156">
        <v>0</v>
      </c>
      <c r="AC445" s="156">
        <v>0</v>
      </c>
      <c r="AD445" s="156">
        <v>0</v>
      </c>
      <c r="AE445" s="156">
        <v>0</v>
      </c>
      <c r="AF445" s="156">
        <v>0</v>
      </c>
      <c r="AG445" s="156">
        <v>0</v>
      </c>
      <c r="AH445" s="156">
        <v>0</v>
      </c>
      <c r="AI445" s="156">
        <v>0</v>
      </c>
      <c r="AJ445" s="156">
        <v>0</v>
      </c>
      <c r="AK445" s="156">
        <v>0</v>
      </c>
      <c r="AL445" s="156">
        <v>0</v>
      </c>
      <c r="AM445" s="156">
        <v>-507.15</v>
      </c>
      <c r="AN445" s="156">
        <v>0</v>
      </c>
      <c r="AO445" s="156">
        <v>0</v>
      </c>
      <c r="AP445" s="156">
        <v>0</v>
      </c>
      <c r="AQ445" s="156">
        <v>0</v>
      </c>
      <c r="AR445" s="156">
        <v>0</v>
      </c>
      <c r="AS445" s="156">
        <v>0</v>
      </c>
      <c r="AT445" s="156">
        <f t="shared" si="77"/>
        <v>13442.560000000001</v>
      </c>
    </row>
    <row r="446" spans="1:46" ht="11.25" hidden="1" outlineLevel="3">
      <c r="A446" s="155" t="s">
        <v>167</v>
      </c>
      <c r="B446" s="155" t="s">
        <v>146</v>
      </c>
      <c r="C446" s="155" t="s">
        <v>133</v>
      </c>
      <c r="D446" s="156" t="s">
        <v>144</v>
      </c>
      <c r="E446" s="156" t="s">
        <v>139</v>
      </c>
      <c r="F446" s="157">
        <v>0</v>
      </c>
      <c r="G446" s="157">
        <v>35407</v>
      </c>
      <c r="H446" s="156">
        <v>4144.21</v>
      </c>
      <c r="I446" s="156">
        <v>0</v>
      </c>
      <c r="J446" s="156">
        <v>972.54</v>
      </c>
      <c r="K446" s="156">
        <v>0</v>
      </c>
      <c r="L446" s="156">
        <v>0</v>
      </c>
      <c r="M446" s="156">
        <v>0</v>
      </c>
      <c r="N446" s="156">
        <f t="shared" si="76"/>
        <v>972.54</v>
      </c>
      <c r="O446" s="156">
        <v>0</v>
      </c>
      <c r="P446" s="156">
        <v>0</v>
      </c>
      <c r="Q446" s="156">
        <v>0</v>
      </c>
      <c r="R446" s="156">
        <v>0</v>
      </c>
      <c r="S446" s="156">
        <v>0</v>
      </c>
      <c r="T446" s="156">
        <v>0</v>
      </c>
      <c r="U446" s="156">
        <v>0</v>
      </c>
      <c r="V446" s="156">
        <v>0</v>
      </c>
      <c r="W446" s="156">
        <v>0</v>
      </c>
      <c r="X446" s="156">
        <v>10.98</v>
      </c>
      <c r="Y446" s="156">
        <v>0</v>
      </c>
      <c r="Z446" s="156">
        <v>0</v>
      </c>
      <c r="AA446" s="156">
        <v>0</v>
      </c>
      <c r="AB446" s="156">
        <v>0</v>
      </c>
      <c r="AC446" s="156">
        <v>0</v>
      </c>
      <c r="AD446" s="156">
        <v>0</v>
      </c>
      <c r="AE446" s="156">
        <v>0</v>
      </c>
      <c r="AF446" s="156">
        <v>0</v>
      </c>
      <c r="AG446" s="156">
        <v>0</v>
      </c>
      <c r="AH446" s="156">
        <v>0</v>
      </c>
      <c r="AI446" s="156">
        <v>0</v>
      </c>
      <c r="AJ446" s="156">
        <v>0</v>
      </c>
      <c r="AK446" s="156">
        <v>0</v>
      </c>
      <c r="AL446" s="156">
        <v>0</v>
      </c>
      <c r="AM446" s="156">
        <v>-687.63</v>
      </c>
      <c r="AN446" s="156">
        <v>0</v>
      </c>
      <c r="AO446" s="156">
        <v>0</v>
      </c>
      <c r="AP446" s="156">
        <v>0</v>
      </c>
      <c r="AQ446" s="156">
        <v>0</v>
      </c>
      <c r="AR446" s="156">
        <v>0</v>
      </c>
      <c r="AS446" s="156">
        <v>0</v>
      </c>
      <c r="AT446" s="156">
        <f t="shared" si="77"/>
        <v>4440.0999999999995</v>
      </c>
    </row>
    <row r="447" spans="1:46" ht="11.25" hidden="1" outlineLevel="3">
      <c r="A447" s="155" t="s">
        <v>167</v>
      </c>
      <c r="B447" s="155" t="s">
        <v>146</v>
      </c>
      <c r="C447" s="155" t="s">
        <v>133</v>
      </c>
      <c r="D447" s="156" t="s">
        <v>144</v>
      </c>
      <c r="E447" s="156" t="s">
        <v>139</v>
      </c>
      <c r="F447" s="157">
        <v>0</v>
      </c>
      <c r="G447" s="157">
        <v>75144</v>
      </c>
      <c r="H447" s="156">
        <v>7997.82</v>
      </c>
      <c r="I447" s="156">
        <v>0</v>
      </c>
      <c r="J447" s="156">
        <v>2064.0700000000002</v>
      </c>
      <c r="K447" s="156">
        <v>0</v>
      </c>
      <c r="L447" s="156">
        <v>0</v>
      </c>
      <c r="M447" s="156">
        <v>0</v>
      </c>
      <c r="N447" s="156">
        <f t="shared" si="76"/>
        <v>2064.0700000000002</v>
      </c>
      <c r="O447" s="156">
        <v>0</v>
      </c>
      <c r="P447" s="156">
        <v>0</v>
      </c>
      <c r="Q447" s="156">
        <v>0</v>
      </c>
      <c r="R447" s="156">
        <v>0</v>
      </c>
      <c r="S447" s="156">
        <v>0</v>
      </c>
      <c r="T447" s="156">
        <v>0</v>
      </c>
      <c r="U447" s="156">
        <v>0</v>
      </c>
      <c r="V447" s="156">
        <v>0</v>
      </c>
      <c r="W447" s="156">
        <v>0</v>
      </c>
      <c r="X447" s="156">
        <v>23.3</v>
      </c>
      <c r="Y447" s="156">
        <v>0</v>
      </c>
      <c r="Z447" s="156">
        <v>0</v>
      </c>
      <c r="AA447" s="156">
        <v>0</v>
      </c>
      <c r="AB447" s="156">
        <v>0</v>
      </c>
      <c r="AC447" s="156">
        <v>0</v>
      </c>
      <c r="AD447" s="156">
        <v>0</v>
      </c>
      <c r="AE447" s="156">
        <v>0</v>
      </c>
      <c r="AF447" s="156">
        <v>0</v>
      </c>
      <c r="AG447" s="156">
        <v>0</v>
      </c>
      <c r="AH447" s="156">
        <v>0</v>
      </c>
      <c r="AI447" s="156">
        <v>0</v>
      </c>
      <c r="AJ447" s="156">
        <v>0</v>
      </c>
      <c r="AK447" s="156">
        <v>0</v>
      </c>
      <c r="AL447" s="156">
        <v>0</v>
      </c>
      <c r="AM447" s="156">
        <v>-1459.29</v>
      </c>
      <c r="AN447" s="156">
        <v>0</v>
      </c>
      <c r="AO447" s="156">
        <v>0</v>
      </c>
      <c r="AP447" s="156">
        <v>0</v>
      </c>
      <c r="AQ447" s="156">
        <v>0</v>
      </c>
      <c r="AR447" s="156">
        <v>0</v>
      </c>
      <c r="AS447" s="156">
        <v>0</v>
      </c>
      <c r="AT447" s="156">
        <f t="shared" si="77"/>
        <v>8625.8999999999978</v>
      </c>
    </row>
    <row r="448" spans="1:46" ht="11.25" outlineLevel="2" collapsed="1">
      <c r="D448" s="156"/>
      <c r="E448" s="156" t="s">
        <v>219</v>
      </c>
      <c r="F448" s="157">
        <v>1331</v>
      </c>
      <c r="G448" s="157">
        <f t="shared" ref="G448:AT448" si="78">SUBTOTAL(9,G415:G447)</f>
        <v>1918147</v>
      </c>
      <c r="H448" s="156">
        <f t="shared" si="78"/>
        <v>248740.45</v>
      </c>
      <c r="I448" s="156">
        <f t="shared" si="78"/>
        <v>0</v>
      </c>
      <c r="J448" s="156">
        <f t="shared" si="78"/>
        <v>3036.61</v>
      </c>
      <c r="K448" s="156">
        <f t="shared" si="78"/>
        <v>2254.12</v>
      </c>
      <c r="L448" s="156">
        <f t="shared" si="78"/>
        <v>3260.08</v>
      </c>
      <c r="M448" s="156">
        <f t="shared" si="78"/>
        <v>3298.1800000000003</v>
      </c>
      <c r="N448" s="156">
        <f t="shared" si="78"/>
        <v>11848.990000000002</v>
      </c>
      <c r="O448" s="156">
        <f t="shared" si="78"/>
        <v>420.33000000000004</v>
      </c>
      <c r="P448" s="156">
        <f t="shared" si="78"/>
        <v>545.56000000000006</v>
      </c>
      <c r="Q448" s="156">
        <f t="shared" si="78"/>
        <v>149.14999999999998</v>
      </c>
      <c r="R448" s="156">
        <f t="shared" si="78"/>
        <v>0</v>
      </c>
      <c r="S448" s="156">
        <f t="shared" si="78"/>
        <v>0</v>
      </c>
      <c r="T448" s="156">
        <f t="shared" si="78"/>
        <v>48.78</v>
      </c>
      <c r="U448" s="156">
        <f t="shared" si="78"/>
        <v>0</v>
      </c>
      <c r="V448" s="156">
        <f t="shared" si="78"/>
        <v>0</v>
      </c>
      <c r="W448" s="156">
        <f t="shared" si="78"/>
        <v>0</v>
      </c>
      <c r="X448" s="156">
        <f t="shared" si="78"/>
        <v>34.28</v>
      </c>
      <c r="Y448" s="156">
        <f t="shared" si="78"/>
        <v>223.58999999999997</v>
      </c>
      <c r="Z448" s="156">
        <f t="shared" si="78"/>
        <v>1123.7200000000003</v>
      </c>
      <c r="AA448" s="156">
        <f t="shared" si="78"/>
        <v>365.55</v>
      </c>
      <c r="AB448" s="156">
        <f t="shared" si="78"/>
        <v>0</v>
      </c>
      <c r="AC448" s="156">
        <f t="shared" si="78"/>
        <v>0</v>
      </c>
      <c r="AD448" s="156">
        <f t="shared" si="78"/>
        <v>0</v>
      </c>
      <c r="AE448" s="156">
        <f t="shared" si="78"/>
        <v>0</v>
      </c>
      <c r="AF448" s="156">
        <f t="shared" si="78"/>
        <v>0</v>
      </c>
      <c r="AG448" s="156">
        <f t="shared" si="78"/>
        <v>0</v>
      </c>
      <c r="AH448" s="156">
        <f t="shared" si="78"/>
        <v>0</v>
      </c>
      <c r="AI448" s="156">
        <f t="shared" si="78"/>
        <v>0</v>
      </c>
      <c r="AJ448" s="156">
        <f t="shared" si="78"/>
        <v>0</v>
      </c>
      <c r="AK448" s="156">
        <f t="shared" si="78"/>
        <v>0</v>
      </c>
      <c r="AL448" s="156">
        <f t="shared" si="78"/>
        <v>1007.8099999999998</v>
      </c>
      <c r="AM448" s="156">
        <f t="shared" si="78"/>
        <v>-11845.8</v>
      </c>
      <c r="AN448" s="156">
        <f t="shared" si="78"/>
        <v>0</v>
      </c>
      <c r="AO448" s="156">
        <f t="shared" si="78"/>
        <v>1213.1099999999999</v>
      </c>
      <c r="AP448" s="156">
        <f t="shared" si="78"/>
        <v>0</v>
      </c>
      <c r="AQ448" s="156">
        <f t="shared" si="78"/>
        <v>0</v>
      </c>
      <c r="AR448" s="156">
        <f t="shared" si="78"/>
        <v>-420.99</v>
      </c>
      <c r="AS448" s="156">
        <f t="shared" si="78"/>
        <v>-22782.504959224112</v>
      </c>
      <c r="AT448" s="156">
        <f t="shared" si="78"/>
        <v>252867.71</v>
      </c>
    </row>
    <row r="449" spans="1:46" ht="11.25" hidden="1" outlineLevel="3">
      <c r="A449" s="155" t="s">
        <v>131</v>
      </c>
      <c r="B449" s="155" t="s">
        <v>132</v>
      </c>
      <c r="C449" s="155" t="s">
        <v>133</v>
      </c>
      <c r="D449" s="156" t="s">
        <v>144</v>
      </c>
      <c r="E449" s="156" t="s">
        <v>140</v>
      </c>
      <c r="F449" s="157">
        <v>0</v>
      </c>
      <c r="G449" s="157">
        <v>570680</v>
      </c>
      <c r="H449" s="156">
        <v>23197.15</v>
      </c>
      <c r="I449" s="156">
        <v>0</v>
      </c>
      <c r="J449" s="156">
        <v>0</v>
      </c>
      <c r="K449" s="156">
        <v>0</v>
      </c>
      <c r="L449" s="156">
        <v>16641.03</v>
      </c>
      <c r="M449" s="156">
        <v>0</v>
      </c>
      <c r="N449" s="156">
        <f t="shared" ref="N449:N471" si="79">J449+K449+L449+M449</f>
        <v>16641.03</v>
      </c>
      <c r="O449" s="156">
        <v>1717.75</v>
      </c>
      <c r="P449" s="156">
        <v>1228.7</v>
      </c>
      <c r="Q449" s="156">
        <v>0</v>
      </c>
      <c r="R449" s="156">
        <v>0</v>
      </c>
      <c r="S449" s="156">
        <v>0</v>
      </c>
      <c r="T449" s="156">
        <v>0</v>
      </c>
      <c r="U449" s="156">
        <v>0</v>
      </c>
      <c r="V449" s="156">
        <v>0</v>
      </c>
      <c r="W449" s="156">
        <v>0</v>
      </c>
      <c r="X449" s="156">
        <v>0</v>
      </c>
      <c r="Y449" s="156">
        <v>1141.3599999999999</v>
      </c>
      <c r="Z449" s="156">
        <v>0</v>
      </c>
      <c r="AA449" s="156">
        <v>773.87</v>
      </c>
      <c r="AB449" s="156">
        <v>0</v>
      </c>
      <c r="AC449" s="156">
        <v>0</v>
      </c>
      <c r="AD449" s="156">
        <v>0</v>
      </c>
      <c r="AE449" s="156">
        <v>0</v>
      </c>
      <c r="AF449" s="156">
        <v>0</v>
      </c>
      <c r="AG449" s="156">
        <v>0</v>
      </c>
      <c r="AH449" s="156">
        <v>0</v>
      </c>
      <c r="AI449" s="156">
        <v>0</v>
      </c>
      <c r="AJ449" s="156">
        <v>0</v>
      </c>
      <c r="AK449" s="156">
        <v>0</v>
      </c>
      <c r="AL449" s="156">
        <v>3409.36</v>
      </c>
      <c r="AM449" s="156">
        <v>-4954.92</v>
      </c>
      <c r="AN449" s="156">
        <v>0</v>
      </c>
      <c r="AO449" s="156">
        <v>0</v>
      </c>
      <c r="AP449" s="156">
        <v>0</v>
      </c>
      <c r="AQ449" s="156">
        <v>0</v>
      </c>
      <c r="AR449" s="156">
        <v>0</v>
      </c>
      <c r="AS449" s="156">
        <v>0</v>
      </c>
      <c r="AT449" s="156">
        <f t="shared" ref="AT449:AT471" si="80">H449+I449+N449+O449+P449+Q449+T449+X449+Y449+Z449+AA449+AB449+AM449+AO449</f>
        <v>39744.94</v>
      </c>
    </row>
    <row r="450" spans="1:46" ht="11.25" hidden="1" outlineLevel="3">
      <c r="A450" s="155" t="s">
        <v>145</v>
      </c>
      <c r="B450" s="155" t="s">
        <v>146</v>
      </c>
      <c r="C450" s="155" t="s">
        <v>133</v>
      </c>
      <c r="D450" s="156" t="s">
        <v>144</v>
      </c>
      <c r="E450" s="156" t="s">
        <v>140</v>
      </c>
      <c r="F450" s="157">
        <v>0</v>
      </c>
      <c r="G450" s="157">
        <v>48560</v>
      </c>
      <c r="H450" s="156">
        <v>3305.09</v>
      </c>
      <c r="I450" s="156">
        <v>0</v>
      </c>
      <c r="J450" s="156">
        <v>0</v>
      </c>
      <c r="K450" s="156">
        <v>0</v>
      </c>
      <c r="L450" s="156">
        <v>0</v>
      </c>
      <c r="M450" s="156">
        <v>1417.95</v>
      </c>
      <c r="N450" s="156">
        <f t="shared" si="79"/>
        <v>1417.95</v>
      </c>
      <c r="O450" s="156">
        <v>0</v>
      </c>
      <c r="P450" s="156">
        <v>0</v>
      </c>
      <c r="Q450" s="156">
        <v>64.099999999999994</v>
      </c>
      <c r="R450" s="156">
        <v>0</v>
      </c>
      <c r="S450" s="156">
        <v>0</v>
      </c>
      <c r="T450" s="156">
        <v>0</v>
      </c>
      <c r="U450" s="156">
        <v>0</v>
      </c>
      <c r="V450" s="156">
        <v>0</v>
      </c>
      <c r="W450" s="156">
        <v>0</v>
      </c>
      <c r="X450" s="156">
        <v>0</v>
      </c>
      <c r="Y450" s="156">
        <v>0</v>
      </c>
      <c r="Z450" s="156">
        <v>0</v>
      </c>
      <c r="AA450" s="156">
        <v>0</v>
      </c>
      <c r="AB450" s="156">
        <v>0</v>
      </c>
      <c r="AC450" s="156">
        <v>0</v>
      </c>
      <c r="AD450" s="156">
        <v>0</v>
      </c>
      <c r="AE450" s="156">
        <v>0</v>
      </c>
      <c r="AF450" s="156">
        <v>0</v>
      </c>
      <c r="AG450" s="156">
        <v>0</v>
      </c>
      <c r="AH450" s="156">
        <v>0</v>
      </c>
      <c r="AI450" s="156">
        <v>0</v>
      </c>
      <c r="AJ450" s="156">
        <v>0</v>
      </c>
      <c r="AK450" s="156">
        <v>0</v>
      </c>
      <c r="AL450" s="156">
        <v>0</v>
      </c>
      <c r="AM450" s="156">
        <v>0</v>
      </c>
      <c r="AN450" s="156">
        <v>0</v>
      </c>
      <c r="AO450" s="156">
        <v>317.14</v>
      </c>
      <c r="AP450" s="156">
        <v>0</v>
      </c>
      <c r="AQ450" s="156">
        <v>0</v>
      </c>
      <c r="AR450" s="156">
        <v>0</v>
      </c>
      <c r="AS450" s="156">
        <v>0</v>
      </c>
      <c r="AT450" s="156">
        <f t="shared" si="80"/>
        <v>5104.2800000000007</v>
      </c>
    </row>
    <row r="451" spans="1:46" ht="11.25" hidden="1" outlineLevel="3">
      <c r="A451" s="155" t="s">
        <v>145</v>
      </c>
      <c r="B451" s="155" t="s">
        <v>146</v>
      </c>
      <c r="C451" s="155" t="s">
        <v>133</v>
      </c>
      <c r="D451" s="156" t="s">
        <v>144</v>
      </c>
      <c r="E451" s="156" t="s">
        <v>140</v>
      </c>
      <c r="F451" s="157">
        <v>0</v>
      </c>
      <c r="G451" s="157">
        <v>158400</v>
      </c>
      <c r="H451" s="156">
        <v>9732.65</v>
      </c>
      <c r="I451" s="156">
        <v>0</v>
      </c>
      <c r="J451" s="156">
        <v>0</v>
      </c>
      <c r="K451" s="156">
        <v>0</v>
      </c>
      <c r="L451" s="156">
        <v>0</v>
      </c>
      <c r="M451" s="156">
        <v>4625.28</v>
      </c>
      <c r="N451" s="156">
        <f t="shared" si="79"/>
        <v>4625.28</v>
      </c>
      <c r="O451" s="156">
        <v>0</v>
      </c>
      <c r="P451" s="156">
        <v>0</v>
      </c>
      <c r="Q451" s="156">
        <v>209.07</v>
      </c>
      <c r="R451" s="156">
        <v>0</v>
      </c>
      <c r="S451" s="156">
        <v>0</v>
      </c>
      <c r="T451" s="156">
        <v>0</v>
      </c>
      <c r="U451" s="156">
        <v>0</v>
      </c>
      <c r="V451" s="156">
        <v>0</v>
      </c>
      <c r="W451" s="156">
        <v>0</v>
      </c>
      <c r="X451" s="156">
        <v>0</v>
      </c>
      <c r="Y451" s="156">
        <v>0</v>
      </c>
      <c r="Z451" s="156">
        <v>0</v>
      </c>
      <c r="AA451" s="156">
        <v>0</v>
      </c>
      <c r="AB451" s="156">
        <v>0</v>
      </c>
      <c r="AC451" s="156">
        <v>0</v>
      </c>
      <c r="AD451" s="156">
        <v>0</v>
      </c>
      <c r="AE451" s="156">
        <v>0</v>
      </c>
      <c r="AF451" s="156">
        <v>0</v>
      </c>
      <c r="AG451" s="156">
        <v>0</v>
      </c>
      <c r="AH451" s="156">
        <v>0</v>
      </c>
      <c r="AI451" s="156">
        <v>0</v>
      </c>
      <c r="AJ451" s="156">
        <v>0</v>
      </c>
      <c r="AK451" s="156">
        <v>0</v>
      </c>
      <c r="AL451" s="156">
        <v>0</v>
      </c>
      <c r="AM451" s="156">
        <v>0</v>
      </c>
      <c r="AN451" s="156">
        <v>0</v>
      </c>
      <c r="AO451" s="156">
        <v>842.2</v>
      </c>
      <c r="AP451" s="156">
        <v>0</v>
      </c>
      <c r="AQ451" s="156">
        <v>0</v>
      </c>
      <c r="AR451" s="156">
        <v>0</v>
      </c>
      <c r="AS451" s="156">
        <v>0</v>
      </c>
      <c r="AT451" s="156">
        <f t="shared" si="80"/>
        <v>15409.2</v>
      </c>
    </row>
    <row r="452" spans="1:46" ht="11.25" hidden="1" outlineLevel="3">
      <c r="A452" s="155" t="s">
        <v>145</v>
      </c>
      <c r="B452" s="155" t="s">
        <v>147</v>
      </c>
      <c r="C452" s="155" t="s">
        <v>133</v>
      </c>
      <c r="D452" s="156" t="s">
        <v>144</v>
      </c>
      <c r="E452" s="156" t="s">
        <v>140</v>
      </c>
      <c r="F452" s="157">
        <v>0</v>
      </c>
      <c r="G452" s="157">
        <v>20880</v>
      </c>
      <c r="H452" s="156">
        <v>1496.22</v>
      </c>
      <c r="I452" s="156">
        <v>0</v>
      </c>
      <c r="J452" s="156">
        <v>0</v>
      </c>
      <c r="K452" s="156">
        <v>0</v>
      </c>
      <c r="L452" s="156">
        <v>0</v>
      </c>
      <c r="M452" s="156">
        <v>609.70000000000005</v>
      </c>
      <c r="N452" s="156">
        <f t="shared" si="79"/>
        <v>609.70000000000005</v>
      </c>
      <c r="O452" s="156">
        <v>0</v>
      </c>
      <c r="P452" s="156">
        <v>0</v>
      </c>
      <c r="Q452" s="156">
        <v>27.56</v>
      </c>
      <c r="R452" s="156">
        <v>0</v>
      </c>
      <c r="S452" s="156">
        <v>0</v>
      </c>
      <c r="T452" s="156">
        <v>0</v>
      </c>
      <c r="U452" s="156">
        <v>0</v>
      </c>
      <c r="V452" s="156">
        <v>0</v>
      </c>
      <c r="W452" s="156">
        <v>0</v>
      </c>
      <c r="X452" s="156">
        <v>0</v>
      </c>
      <c r="Y452" s="156">
        <v>0</v>
      </c>
      <c r="Z452" s="156">
        <v>0</v>
      </c>
      <c r="AA452" s="156">
        <v>0</v>
      </c>
      <c r="AB452" s="156">
        <v>0</v>
      </c>
      <c r="AC452" s="156">
        <v>0</v>
      </c>
      <c r="AD452" s="156">
        <v>0</v>
      </c>
      <c r="AE452" s="156">
        <v>0</v>
      </c>
      <c r="AF452" s="156">
        <v>0</v>
      </c>
      <c r="AG452" s="156">
        <v>0</v>
      </c>
      <c r="AH452" s="156">
        <v>0</v>
      </c>
      <c r="AI452" s="156">
        <v>0</v>
      </c>
      <c r="AJ452" s="156">
        <v>0</v>
      </c>
      <c r="AK452" s="156">
        <v>0</v>
      </c>
      <c r="AL452" s="156">
        <v>0</v>
      </c>
      <c r="AM452" s="156">
        <v>0</v>
      </c>
      <c r="AN452" s="156">
        <v>0</v>
      </c>
      <c r="AO452" s="156">
        <v>161.29</v>
      </c>
      <c r="AP452" s="156">
        <v>0</v>
      </c>
      <c r="AQ452" s="156">
        <v>0</v>
      </c>
      <c r="AR452" s="156">
        <v>0</v>
      </c>
      <c r="AS452" s="156">
        <v>0</v>
      </c>
      <c r="AT452" s="156">
        <f t="shared" si="80"/>
        <v>2294.77</v>
      </c>
    </row>
    <row r="453" spans="1:46" ht="11.25" hidden="1" outlineLevel="3">
      <c r="A453" s="155" t="s">
        <v>145</v>
      </c>
      <c r="B453" s="155" t="s">
        <v>147</v>
      </c>
      <c r="C453" s="155" t="s">
        <v>133</v>
      </c>
      <c r="D453" s="156" t="s">
        <v>144</v>
      </c>
      <c r="E453" s="156" t="s">
        <v>140</v>
      </c>
      <c r="F453" s="157">
        <v>0</v>
      </c>
      <c r="G453" s="157">
        <v>18764</v>
      </c>
      <c r="H453" s="156">
        <v>2173.9699999999998</v>
      </c>
      <c r="I453" s="156">
        <v>0</v>
      </c>
      <c r="J453" s="156">
        <v>0</v>
      </c>
      <c r="K453" s="156">
        <v>0</v>
      </c>
      <c r="L453" s="156">
        <v>0</v>
      </c>
      <c r="M453" s="156">
        <v>547.91</v>
      </c>
      <c r="N453" s="156">
        <f t="shared" si="79"/>
        <v>547.91</v>
      </c>
      <c r="O453" s="156">
        <v>0</v>
      </c>
      <c r="P453" s="156">
        <v>0</v>
      </c>
      <c r="Q453" s="156">
        <v>24.77</v>
      </c>
      <c r="R453" s="156">
        <v>0</v>
      </c>
      <c r="S453" s="156">
        <v>0</v>
      </c>
      <c r="T453" s="156">
        <v>0</v>
      </c>
      <c r="U453" s="156">
        <v>0</v>
      </c>
      <c r="V453" s="156">
        <v>0</v>
      </c>
      <c r="W453" s="156">
        <v>0</v>
      </c>
      <c r="X453" s="156">
        <v>0</v>
      </c>
      <c r="Y453" s="156">
        <v>0</v>
      </c>
      <c r="Z453" s="156">
        <v>0</v>
      </c>
      <c r="AA453" s="156">
        <v>0</v>
      </c>
      <c r="AB453" s="156">
        <v>0</v>
      </c>
      <c r="AC453" s="156">
        <v>0</v>
      </c>
      <c r="AD453" s="156">
        <v>0</v>
      </c>
      <c r="AE453" s="156">
        <v>0</v>
      </c>
      <c r="AF453" s="156">
        <v>0</v>
      </c>
      <c r="AG453" s="156">
        <v>0</v>
      </c>
      <c r="AH453" s="156">
        <v>0</v>
      </c>
      <c r="AI453" s="156">
        <v>0</v>
      </c>
      <c r="AJ453" s="156">
        <v>0</v>
      </c>
      <c r="AK453" s="156">
        <v>0</v>
      </c>
      <c r="AL453" s="156">
        <v>0</v>
      </c>
      <c r="AM453" s="156">
        <v>0</v>
      </c>
      <c r="AN453" s="156">
        <v>0</v>
      </c>
      <c r="AO453" s="156">
        <v>125.49</v>
      </c>
      <c r="AP453" s="156">
        <v>0</v>
      </c>
      <c r="AQ453" s="156">
        <v>0</v>
      </c>
      <c r="AR453" s="156">
        <v>0</v>
      </c>
      <c r="AS453" s="156">
        <v>0</v>
      </c>
      <c r="AT453" s="156">
        <f t="shared" si="80"/>
        <v>2872.1399999999994</v>
      </c>
    </row>
    <row r="454" spans="1:46" ht="11.25" hidden="1" outlineLevel="3">
      <c r="A454" s="155" t="s">
        <v>152</v>
      </c>
      <c r="B454" s="155" t="s">
        <v>153</v>
      </c>
      <c r="C454" s="155" t="s">
        <v>133</v>
      </c>
      <c r="D454" s="156" t="s">
        <v>144</v>
      </c>
      <c r="E454" s="156" t="s">
        <v>140</v>
      </c>
      <c r="F454" s="157">
        <v>0</v>
      </c>
      <c r="G454" s="157">
        <v>102240</v>
      </c>
      <c r="H454" s="156">
        <v>10179.16</v>
      </c>
      <c r="I454" s="156">
        <v>0</v>
      </c>
      <c r="J454" s="156">
        <v>0</v>
      </c>
      <c r="K454" s="156">
        <v>206.52</v>
      </c>
      <c r="L454" s="156">
        <v>0</v>
      </c>
      <c r="M454" s="156">
        <v>0</v>
      </c>
      <c r="N454" s="156">
        <f t="shared" si="79"/>
        <v>206.52</v>
      </c>
      <c r="O454" s="156">
        <v>0</v>
      </c>
      <c r="P454" s="156">
        <v>0</v>
      </c>
      <c r="Q454" s="156">
        <v>0</v>
      </c>
      <c r="R454" s="156">
        <v>0</v>
      </c>
      <c r="S454" s="156">
        <v>0</v>
      </c>
      <c r="T454" s="156">
        <v>0</v>
      </c>
      <c r="U454" s="156">
        <v>0</v>
      </c>
      <c r="V454" s="156">
        <v>0</v>
      </c>
      <c r="W454" s="156">
        <v>0</v>
      </c>
      <c r="X454" s="156">
        <v>0</v>
      </c>
      <c r="Y454" s="156">
        <v>0</v>
      </c>
      <c r="Z454" s="156">
        <v>72.59</v>
      </c>
      <c r="AA454" s="156">
        <v>0</v>
      </c>
      <c r="AB454" s="156">
        <v>0</v>
      </c>
      <c r="AC454" s="156">
        <v>0</v>
      </c>
      <c r="AD454" s="156">
        <v>0</v>
      </c>
      <c r="AE454" s="156">
        <v>0</v>
      </c>
      <c r="AF454" s="156">
        <v>0</v>
      </c>
      <c r="AG454" s="156">
        <v>0</v>
      </c>
      <c r="AH454" s="156">
        <v>0</v>
      </c>
      <c r="AI454" s="156">
        <v>0</v>
      </c>
      <c r="AJ454" s="156">
        <v>0</v>
      </c>
      <c r="AK454" s="156">
        <v>0</v>
      </c>
      <c r="AL454" s="156">
        <v>0</v>
      </c>
      <c r="AM454" s="156">
        <v>-378.29</v>
      </c>
      <c r="AN454" s="156">
        <v>0</v>
      </c>
      <c r="AO454" s="156">
        <v>0</v>
      </c>
      <c r="AP454" s="156">
        <v>0</v>
      </c>
      <c r="AQ454" s="156">
        <v>0</v>
      </c>
      <c r="AR454" s="156">
        <v>0</v>
      </c>
      <c r="AS454" s="156">
        <v>0</v>
      </c>
      <c r="AT454" s="156">
        <f t="shared" si="80"/>
        <v>10079.98</v>
      </c>
    </row>
    <row r="455" spans="1:46" ht="11.25" hidden="1" outlineLevel="3">
      <c r="A455" s="155" t="s">
        <v>152</v>
      </c>
      <c r="B455" s="155" t="s">
        <v>153</v>
      </c>
      <c r="C455" s="155" t="s">
        <v>133</v>
      </c>
      <c r="D455" s="156" t="s">
        <v>144</v>
      </c>
      <c r="E455" s="156" t="s">
        <v>140</v>
      </c>
      <c r="F455" s="157">
        <v>0</v>
      </c>
      <c r="G455" s="157">
        <v>614568</v>
      </c>
      <c r="H455" s="156">
        <v>55532.04</v>
      </c>
      <c r="I455" s="156">
        <v>0</v>
      </c>
      <c r="J455" s="156">
        <v>0</v>
      </c>
      <c r="K455" s="156">
        <v>1515.57</v>
      </c>
      <c r="L455" s="156">
        <v>0</v>
      </c>
      <c r="M455" s="156">
        <v>0</v>
      </c>
      <c r="N455" s="156">
        <f t="shared" si="79"/>
        <v>1515.57</v>
      </c>
      <c r="O455" s="156">
        <v>0</v>
      </c>
      <c r="P455" s="156">
        <v>0</v>
      </c>
      <c r="Q455" s="156">
        <v>0</v>
      </c>
      <c r="R455" s="156">
        <v>0</v>
      </c>
      <c r="S455" s="156">
        <v>0</v>
      </c>
      <c r="T455" s="156">
        <v>0</v>
      </c>
      <c r="U455" s="156">
        <v>0</v>
      </c>
      <c r="V455" s="156">
        <v>0</v>
      </c>
      <c r="W455" s="156">
        <v>0</v>
      </c>
      <c r="X455" s="156">
        <v>0</v>
      </c>
      <c r="Y455" s="156">
        <v>0</v>
      </c>
      <c r="Z455" s="156">
        <v>436.35</v>
      </c>
      <c r="AA455" s="156">
        <v>0</v>
      </c>
      <c r="AB455" s="156">
        <v>0</v>
      </c>
      <c r="AC455" s="156">
        <v>0</v>
      </c>
      <c r="AD455" s="156">
        <v>0</v>
      </c>
      <c r="AE455" s="156">
        <v>0</v>
      </c>
      <c r="AF455" s="156">
        <v>0</v>
      </c>
      <c r="AG455" s="156">
        <v>0</v>
      </c>
      <c r="AH455" s="156">
        <v>0</v>
      </c>
      <c r="AI455" s="156">
        <v>0</v>
      </c>
      <c r="AJ455" s="156">
        <v>0</v>
      </c>
      <c r="AK455" s="156">
        <v>0</v>
      </c>
      <c r="AL455" s="156">
        <v>0</v>
      </c>
      <c r="AM455" s="156">
        <v>-2273.92</v>
      </c>
      <c r="AN455" s="156">
        <v>0</v>
      </c>
      <c r="AO455" s="156">
        <v>0</v>
      </c>
      <c r="AP455" s="156">
        <v>0</v>
      </c>
      <c r="AQ455" s="156">
        <v>0</v>
      </c>
      <c r="AR455" s="156">
        <v>0</v>
      </c>
      <c r="AS455" s="156">
        <v>0</v>
      </c>
      <c r="AT455" s="156">
        <f t="shared" si="80"/>
        <v>55210.04</v>
      </c>
    </row>
    <row r="456" spans="1:46" ht="11.25" hidden="1" outlineLevel="3">
      <c r="A456" s="155" t="s">
        <v>152</v>
      </c>
      <c r="B456" s="155" t="s">
        <v>154</v>
      </c>
      <c r="C456" s="155" t="s">
        <v>133</v>
      </c>
      <c r="D456" s="156" t="s">
        <v>144</v>
      </c>
      <c r="E456" s="156" t="s">
        <v>140</v>
      </c>
      <c r="F456" s="157">
        <v>0</v>
      </c>
      <c r="G456" s="157">
        <v>34601</v>
      </c>
      <c r="H456" s="156">
        <v>4967.2299999999996</v>
      </c>
      <c r="I456" s="156">
        <v>0</v>
      </c>
      <c r="J456" s="156">
        <v>0</v>
      </c>
      <c r="K456" s="156">
        <v>69.84</v>
      </c>
      <c r="L456" s="156">
        <v>0</v>
      </c>
      <c r="M456" s="156">
        <v>0</v>
      </c>
      <c r="N456" s="156">
        <f t="shared" si="79"/>
        <v>69.84</v>
      </c>
      <c r="O456" s="156">
        <v>0</v>
      </c>
      <c r="P456" s="156">
        <v>0</v>
      </c>
      <c r="Q456" s="156">
        <v>0</v>
      </c>
      <c r="R456" s="156">
        <v>0</v>
      </c>
      <c r="S456" s="156">
        <v>0</v>
      </c>
      <c r="T456" s="156">
        <v>0</v>
      </c>
      <c r="U456" s="156">
        <v>0</v>
      </c>
      <c r="V456" s="156">
        <v>0</v>
      </c>
      <c r="W456" s="156">
        <v>0</v>
      </c>
      <c r="X456" s="156">
        <v>0</v>
      </c>
      <c r="Y456" s="156">
        <v>0</v>
      </c>
      <c r="Z456" s="156">
        <v>24.57</v>
      </c>
      <c r="AA456" s="156">
        <v>0</v>
      </c>
      <c r="AB456" s="156">
        <v>0</v>
      </c>
      <c r="AC456" s="156">
        <v>0</v>
      </c>
      <c r="AD456" s="156">
        <v>0</v>
      </c>
      <c r="AE456" s="156">
        <v>0</v>
      </c>
      <c r="AF456" s="156">
        <v>0</v>
      </c>
      <c r="AG456" s="156">
        <v>0</v>
      </c>
      <c r="AH456" s="156">
        <v>0</v>
      </c>
      <c r="AI456" s="156">
        <v>0</v>
      </c>
      <c r="AJ456" s="156">
        <v>0</v>
      </c>
      <c r="AK456" s="156">
        <v>0</v>
      </c>
      <c r="AL456" s="156">
        <v>0</v>
      </c>
      <c r="AM456" s="156">
        <v>-128.03</v>
      </c>
      <c r="AN456" s="156">
        <v>0</v>
      </c>
      <c r="AO456" s="156">
        <v>0</v>
      </c>
      <c r="AP456" s="156">
        <v>0</v>
      </c>
      <c r="AQ456" s="156">
        <v>0</v>
      </c>
      <c r="AR456" s="156">
        <v>-339.17</v>
      </c>
      <c r="AS456" s="156">
        <v>-35839.541547277899</v>
      </c>
      <c r="AT456" s="156">
        <f t="shared" si="80"/>
        <v>4933.6099999999997</v>
      </c>
    </row>
    <row r="457" spans="1:46" ht="11.25" hidden="1" outlineLevel="3">
      <c r="A457" s="155" t="s">
        <v>152</v>
      </c>
      <c r="B457" s="155" t="s">
        <v>154</v>
      </c>
      <c r="C457" s="155" t="s">
        <v>133</v>
      </c>
      <c r="D457" s="156" t="s">
        <v>144</v>
      </c>
      <c r="E457" s="156" t="s">
        <v>140</v>
      </c>
      <c r="F457" s="157">
        <v>0</v>
      </c>
      <c r="G457" s="157">
        <v>264392</v>
      </c>
      <c r="H457" s="156">
        <v>26758.98</v>
      </c>
      <c r="I457" s="156">
        <v>0</v>
      </c>
      <c r="J457" s="156">
        <v>0</v>
      </c>
      <c r="K457" s="156">
        <v>500.18</v>
      </c>
      <c r="L457" s="156">
        <v>0</v>
      </c>
      <c r="M457" s="156">
        <v>0</v>
      </c>
      <c r="N457" s="156">
        <f t="shared" si="79"/>
        <v>500.18</v>
      </c>
      <c r="O457" s="156">
        <v>0</v>
      </c>
      <c r="P457" s="156">
        <v>0</v>
      </c>
      <c r="Q457" s="156">
        <v>0</v>
      </c>
      <c r="R457" s="156">
        <v>0</v>
      </c>
      <c r="S457" s="156">
        <v>0</v>
      </c>
      <c r="T457" s="156">
        <v>0</v>
      </c>
      <c r="U457" s="156">
        <v>0</v>
      </c>
      <c r="V457" s="156">
        <v>0</v>
      </c>
      <c r="W457" s="156">
        <v>0</v>
      </c>
      <c r="X457" s="156">
        <v>0</v>
      </c>
      <c r="Y457" s="156">
        <v>0</v>
      </c>
      <c r="Z457" s="156">
        <v>187.72</v>
      </c>
      <c r="AA457" s="156">
        <v>0</v>
      </c>
      <c r="AB457" s="156">
        <v>0</v>
      </c>
      <c r="AC457" s="156">
        <v>0</v>
      </c>
      <c r="AD457" s="156">
        <v>0</v>
      </c>
      <c r="AE457" s="156">
        <v>0</v>
      </c>
      <c r="AF457" s="156">
        <v>0</v>
      </c>
      <c r="AG457" s="156">
        <v>0</v>
      </c>
      <c r="AH457" s="156">
        <v>0</v>
      </c>
      <c r="AI457" s="156">
        <v>0</v>
      </c>
      <c r="AJ457" s="156">
        <v>0</v>
      </c>
      <c r="AK457" s="156">
        <v>0</v>
      </c>
      <c r="AL457" s="156">
        <v>0</v>
      </c>
      <c r="AM457" s="156">
        <v>-978.25</v>
      </c>
      <c r="AN457" s="156">
        <v>0</v>
      </c>
      <c r="AO457" s="156">
        <v>0</v>
      </c>
      <c r="AP457" s="156">
        <v>0</v>
      </c>
      <c r="AQ457" s="156">
        <v>0</v>
      </c>
      <c r="AR457" s="156">
        <v>0</v>
      </c>
      <c r="AS457" s="156">
        <v>0</v>
      </c>
      <c r="AT457" s="156">
        <f t="shared" si="80"/>
        <v>26468.63</v>
      </c>
    </row>
    <row r="458" spans="1:46" ht="11.25" hidden="1" outlineLevel="3">
      <c r="A458" s="155" t="s">
        <v>152</v>
      </c>
      <c r="B458" s="155" t="s">
        <v>155</v>
      </c>
      <c r="C458" s="155" t="s">
        <v>133</v>
      </c>
      <c r="D458" s="156" t="s">
        <v>144</v>
      </c>
      <c r="E458" s="156" t="s">
        <v>140</v>
      </c>
      <c r="F458" s="157">
        <v>0</v>
      </c>
      <c r="G458" s="157">
        <v>249400</v>
      </c>
      <c r="H458" s="156">
        <v>24558.12</v>
      </c>
      <c r="I458" s="156">
        <v>0</v>
      </c>
      <c r="J458" s="156">
        <v>0</v>
      </c>
      <c r="K458" s="156">
        <v>637.62</v>
      </c>
      <c r="L458" s="156">
        <v>0</v>
      </c>
      <c r="M458" s="156">
        <v>0</v>
      </c>
      <c r="N458" s="156">
        <f t="shared" si="79"/>
        <v>637.62</v>
      </c>
      <c r="O458" s="156">
        <v>0</v>
      </c>
      <c r="P458" s="156">
        <v>0</v>
      </c>
      <c r="Q458" s="156">
        <v>0</v>
      </c>
      <c r="R458" s="156">
        <v>0</v>
      </c>
      <c r="S458" s="156">
        <v>0</v>
      </c>
      <c r="T458" s="156">
        <v>0</v>
      </c>
      <c r="U458" s="156">
        <v>0</v>
      </c>
      <c r="V458" s="156">
        <v>0</v>
      </c>
      <c r="W458" s="156">
        <v>0</v>
      </c>
      <c r="X458" s="156">
        <v>0</v>
      </c>
      <c r="Y458" s="156">
        <v>0</v>
      </c>
      <c r="Z458" s="156">
        <v>177.07</v>
      </c>
      <c r="AA458" s="156">
        <v>0</v>
      </c>
      <c r="AB458" s="156">
        <v>0</v>
      </c>
      <c r="AC458" s="156">
        <v>0</v>
      </c>
      <c r="AD458" s="156">
        <v>0</v>
      </c>
      <c r="AE458" s="156">
        <v>0</v>
      </c>
      <c r="AF458" s="156">
        <v>0</v>
      </c>
      <c r="AG458" s="156">
        <v>0</v>
      </c>
      <c r="AH458" s="156">
        <v>0</v>
      </c>
      <c r="AI458" s="156">
        <v>0</v>
      </c>
      <c r="AJ458" s="156">
        <v>0</v>
      </c>
      <c r="AK458" s="156">
        <v>0</v>
      </c>
      <c r="AL458" s="156">
        <v>0</v>
      </c>
      <c r="AM458" s="156">
        <v>-922.79</v>
      </c>
      <c r="AN458" s="156">
        <v>0</v>
      </c>
      <c r="AO458" s="156">
        <v>0</v>
      </c>
      <c r="AP458" s="156">
        <v>0</v>
      </c>
      <c r="AQ458" s="156">
        <v>0</v>
      </c>
      <c r="AR458" s="156">
        <v>0</v>
      </c>
      <c r="AS458" s="156">
        <v>0</v>
      </c>
      <c r="AT458" s="156">
        <f t="shared" si="80"/>
        <v>24450.019999999997</v>
      </c>
    </row>
    <row r="459" spans="1:46" ht="11.25" hidden="1" outlineLevel="3">
      <c r="A459" s="155" t="s">
        <v>152</v>
      </c>
      <c r="B459" s="155" t="s">
        <v>155</v>
      </c>
      <c r="C459" s="155" t="s">
        <v>133</v>
      </c>
      <c r="D459" s="156" t="s">
        <v>144</v>
      </c>
      <c r="E459" s="156" t="s">
        <v>140</v>
      </c>
      <c r="F459" s="157">
        <v>0</v>
      </c>
      <c r="G459" s="157">
        <v>1286318</v>
      </c>
      <c r="H459" s="156">
        <v>126951.56</v>
      </c>
      <c r="I459" s="156">
        <v>0</v>
      </c>
      <c r="J459" s="156">
        <v>0</v>
      </c>
      <c r="K459" s="156">
        <v>2451.0100000000002</v>
      </c>
      <c r="L459" s="156">
        <v>0</v>
      </c>
      <c r="M459" s="156">
        <v>0</v>
      </c>
      <c r="N459" s="156">
        <f t="shared" si="79"/>
        <v>2451.0100000000002</v>
      </c>
      <c r="O459" s="156">
        <v>0</v>
      </c>
      <c r="P459" s="156">
        <v>0</v>
      </c>
      <c r="Q459" s="156">
        <v>0</v>
      </c>
      <c r="R459" s="156">
        <v>0</v>
      </c>
      <c r="S459" s="156">
        <v>0</v>
      </c>
      <c r="T459" s="156">
        <v>0</v>
      </c>
      <c r="U459" s="156">
        <v>0</v>
      </c>
      <c r="V459" s="156">
        <v>0</v>
      </c>
      <c r="W459" s="156">
        <v>0</v>
      </c>
      <c r="X459" s="156">
        <v>0</v>
      </c>
      <c r="Y459" s="156">
        <v>0</v>
      </c>
      <c r="Z459" s="156">
        <v>913.29</v>
      </c>
      <c r="AA459" s="156">
        <v>0</v>
      </c>
      <c r="AB459" s="156">
        <v>0</v>
      </c>
      <c r="AC459" s="156">
        <v>0</v>
      </c>
      <c r="AD459" s="156">
        <v>0</v>
      </c>
      <c r="AE459" s="156">
        <v>0</v>
      </c>
      <c r="AF459" s="156">
        <v>0</v>
      </c>
      <c r="AG459" s="156">
        <v>0</v>
      </c>
      <c r="AH459" s="156">
        <v>0</v>
      </c>
      <c r="AI459" s="156">
        <v>0</v>
      </c>
      <c r="AJ459" s="156">
        <v>0</v>
      </c>
      <c r="AK459" s="156">
        <v>0</v>
      </c>
      <c r="AL459" s="156">
        <v>0</v>
      </c>
      <c r="AM459" s="156">
        <v>-4759.3999999999996</v>
      </c>
      <c r="AN459" s="156">
        <v>0</v>
      </c>
      <c r="AO459" s="156">
        <v>0</v>
      </c>
      <c r="AP459" s="156">
        <v>0</v>
      </c>
      <c r="AQ459" s="156">
        <v>0</v>
      </c>
      <c r="AR459" s="156">
        <v>0</v>
      </c>
      <c r="AS459" s="156">
        <v>0</v>
      </c>
      <c r="AT459" s="156">
        <f t="shared" si="80"/>
        <v>125556.45999999999</v>
      </c>
    </row>
    <row r="460" spans="1:46" ht="11.25" hidden="1" outlineLevel="3">
      <c r="A460" s="155" t="s">
        <v>152</v>
      </c>
      <c r="B460" s="155" t="s">
        <v>157</v>
      </c>
      <c r="C460" s="155" t="s">
        <v>133</v>
      </c>
      <c r="D460" s="156" t="s">
        <v>144</v>
      </c>
      <c r="E460" s="156" t="s">
        <v>140</v>
      </c>
      <c r="F460" s="157">
        <v>0</v>
      </c>
      <c r="G460" s="157">
        <v>522647</v>
      </c>
      <c r="H460" s="156">
        <v>50250.77</v>
      </c>
      <c r="I460" s="156">
        <v>0</v>
      </c>
      <c r="J460" s="156">
        <v>0</v>
      </c>
      <c r="K460" s="156">
        <v>872.69</v>
      </c>
      <c r="L460" s="156">
        <v>0</v>
      </c>
      <c r="M460" s="156">
        <v>0</v>
      </c>
      <c r="N460" s="156">
        <f t="shared" si="79"/>
        <v>872.69</v>
      </c>
      <c r="O460" s="156">
        <v>0</v>
      </c>
      <c r="P460" s="156">
        <v>0</v>
      </c>
      <c r="Q460" s="156">
        <v>0</v>
      </c>
      <c r="R460" s="156">
        <v>0</v>
      </c>
      <c r="S460" s="156">
        <v>0</v>
      </c>
      <c r="T460" s="156">
        <v>0</v>
      </c>
      <c r="U460" s="156">
        <v>0</v>
      </c>
      <c r="V460" s="156">
        <v>0</v>
      </c>
      <c r="W460" s="156">
        <v>0</v>
      </c>
      <c r="X460" s="156">
        <v>0</v>
      </c>
      <c r="Y460" s="156">
        <v>0</v>
      </c>
      <c r="Z460" s="156">
        <v>371.07</v>
      </c>
      <c r="AA460" s="156">
        <v>0</v>
      </c>
      <c r="AB460" s="156">
        <v>0</v>
      </c>
      <c r="AC460" s="156">
        <v>0</v>
      </c>
      <c r="AD460" s="156">
        <v>0</v>
      </c>
      <c r="AE460" s="156">
        <v>0</v>
      </c>
      <c r="AF460" s="156">
        <v>0</v>
      </c>
      <c r="AG460" s="156">
        <v>0</v>
      </c>
      <c r="AH460" s="156">
        <v>0</v>
      </c>
      <c r="AI460" s="156">
        <v>0</v>
      </c>
      <c r="AJ460" s="156">
        <v>0</v>
      </c>
      <c r="AK460" s="156">
        <v>0</v>
      </c>
      <c r="AL460" s="156">
        <v>0</v>
      </c>
      <c r="AM460" s="156">
        <v>-1933.8</v>
      </c>
      <c r="AN460" s="156">
        <v>0</v>
      </c>
      <c r="AO460" s="156">
        <v>0</v>
      </c>
      <c r="AP460" s="156">
        <v>0</v>
      </c>
      <c r="AQ460" s="156">
        <v>0</v>
      </c>
      <c r="AR460" s="156">
        <v>0</v>
      </c>
      <c r="AS460" s="156">
        <v>0</v>
      </c>
      <c r="AT460" s="156">
        <f t="shared" si="80"/>
        <v>49560.729999999996</v>
      </c>
    </row>
    <row r="461" spans="1:46" ht="11.25" hidden="1" outlineLevel="3">
      <c r="A461" s="155" t="s">
        <v>152</v>
      </c>
      <c r="B461" s="155" t="s">
        <v>157</v>
      </c>
      <c r="C461" s="155" t="s">
        <v>133</v>
      </c>
      <c r="D461" s="156" t="s">
        <v>144</v>
      </c>
      <c r="E461" s="156" t="s">
        <v>140</v>
      </c>
      <c r="F461" s="157">
        <v>0</v>
      </c>
      <c r="G461" s="157">
        <v>862871</v>
      </c>
      <c r="H461" s="156">
        <v>75844.44</v>
      </c>
      <c r="I461" s="156">
        <v>0</v>
      </c>
      <c r="J461" s="156">
        <v>0</v>
      </c>
      <c r="K461" s="156">
        <v>1920.13</v>
      </c>
      <c r="L461" s="156">
        <v>0</v>
      </c>
      <c r="M461" s="156">
        <v>0</v>
      </c>
      <c r="N461" s="156">
        <f t="shared" si="79"/>
        <v>1920.13</v>
      </c>
      <c r="O461" s="156">
        <v>0</v>
      </c>
      <c r="P461" s="156">
        <v>0</v>
      </c>
      <c r="Q461" s="156">
        <v>0</v>
      </c>
      <c r="R461" s="156">
        <v>0</v>
      </c>
      <c r="S461" s="156">
        <v>0</v>
      </c>
      <c r="T461" s="156">
        <v>1089.5899999999999</v>
      </c>
      <c r="U461" s="156">
        <v>0</v>
      </c>
      <c r="V461" s="156">
        <v>0</v>
      </c>
      <c r="W461" s="156">
        <v>0</v>
      </c>
      <c r="X461" s="156">
        <v>0</v>
      </c>
      <c r="Y461" s="156">
        <v>0</v>
      </c>
      <c r="Z461" s="156">
        <v>612.64</v>
      </c>
      <c r="AA461" s="156">
        <v>0</v>
      </c>
      <c r="AB461" s="156">
        <v>0</v>
      </c>
      <c r="AC461" s="156">
        <v>0</v>
      </c>
      <c r="AD461" s="156">
        <v>0</v>
      </c>
      <c r="AE461" s="156">
        <v>0</v>
      </c>
      <c r="AF461" s="156">
        <v>0</v>
      </c>
      <c r="AG461" s="156">
        <v>0</v>
      </c>
      <c r="AH461" s="156">
        <v>0</v>
      </c>
      <c r="AI461" s="156">
        <v>0</v>
      </c>
      <c r="AJ461" s="156">
        <v>0</v>
      </c>
      <c r="AK461" s="156">
        <v>0</v>
      </c>
      <c r="AL461" s="156">
        <v>0</v>
      </c>
      <c r="AM461" s="156">
        <v>-3192.62</v>
      </c>
      <c r="AN461" s="156">
        <v>0</v>
      </c>
      <c r="AO461" s="156">
        <v>0</v>
      </c>
      <c r="AP461" s="156">
        <v>0</v>
      </c>
      <c r="AQ461" s="156">
        <v>0</v>
      </c>
      <c r="AR461" s="156">
        <v>0</v>
      </c>
      <c r="AS461" s="156">
        <v>0</v>
      </c>
      <c r="AT461" s="156">
        <f t="shared" si="80"/>
        <v>76274.180000000008</v>
      </c>
    </row>
    <row r="462" spans="1:46" ht="11.25" hidden="1" outlineLevel="3">
      <c r="A462" s="155" t="s">
        <v>152</v>
      </c>
      <c r="B462" s="155" t="s">
        <v>137</v>
      </c>
      <c r="C462" s="155" t="s">
        <v>133</v>
      </c>
      <c r="D462" s="156" t="s">
        <v>144</v>
      </c>
      <c r="E462" s="156" t="s">
        <v>140</v>
      </c>
      <c r="F462" s="157">
        <v>0</v>
      </c>
      <c r="G462" s="157">
        <v>36880</v>
      </c>
      <c r="H462" s="156">
        <v>4000.88</v>
      </c>
      <c r="I462" s="156">
        <v>0</v>
      </c>
      <c r="J462" s="156">
        <v>0</v>
      </c>
      <c r="K462" s="156">
        <v>90.27</v>
      </c>
      <c r="L462" s="156">
        <v>0</v>
      </c>
      <c r="M462" s="156">
        <v>0</v>
      </c>
      <c r="N462" s="156">
        <f t="shared" si="79"/>
        <v>90.27</v>
      </c>
      <c r="O462" s="156">
        <v>0</v>
      </c>
      <c r="P462" s="156">
        <v>0</v>
      </c>
      <c r="Q462" s="156">
        <v>0</v>
      </c>
      <c r="R462" s="156">
        <v>0</v>
      </c>
      <c r="S462" s="156">
        <v>0</v>
      </c>
      <c r="T462" s="156">
        <v>0</v>
      </c>
      <c r="U462" s="156">
        <v>0</v>
      </c>
      <c r="V462" s="156">
        <v>0</v>
      </c>
      <c r="W462" s="156">
        <v>0</v>
      </c>
      <c r="X462" s="156">
        <v>0</v>
      </c>
      <c r="Y462" s="156">
        <v>0</v>
      </c>
      <c r="Z462" s="156">
        <v>26.18</v>
      </c>
      <c r="AA462" s="156">
        <v>0</v>
      </c>
      <c r="AB462" s="156">
        <v>0</v>
      </c>
      <c r="AC462" s="156">
        <v>0</v>
      </c>
      <c r="AD462" s="156">
        <v>0</v>
      </c>
      <c r="AE462" s="156">
        <v>0</v>
      </c>
      <c r="AF462" s="156">
        <v>0</v>
      </c>
      <c r="AG462" s="156">
        <v>0</v>
      </c>
      <c r="AH462" s="156">
        <v>0</v>
      </c>
      <c r="AI462" s="156">
        <v>0</v>
      </c>
      <c r="AJ462" s="156">
        <v>0</v>
      </c>
      <c r="AK462" s="156">
        <v>0</v>
      </c>
      <c r="AL462" s="156">
        <v>0</v>
      </c>
      <c r="AM462" s="156">
        <v>-136.46</v>
      </c>
      <c r="AN462" s="156">
        <v>0</v>
      </c>
      <c r="AO462" s="156">
        <v>0</v>
      </c>
      <c r="AP462" s="156">
        <v>0</v>
      </c>
      <c r="AQ462" s="156">
        <v>0</v>
      </c>
      <c r="AR462" s="156">
        <v>0</v>
      </c>
      <c r="AS462" s="156">
        <v>0</v>
      </c>
      <c r="AT462" s="156">
        <f t="shared" si="80"/>
        <v>3980.87</v>
      </c>
    </row>
    <row r="463" spans="1:46" ht="11.25" hidden="1" outlineLevel="3">
      <c r="A463" s="155" t="s">
        <v>152</v>
      </c>
      <c r="B463" s="155" t="s">
        <v>137</v>
      </c>
      <c r="C463" s="155" t="s">
        <v>133</v>
      </c>
      <c r="D463" s="156" t="s">
        <v>144</v>
      </c>
      <c r="E463" s="156" t="s">
        <v>140</v>
      </c>
      <c r="F463" s="157">
        <v>0</v>
      </c>
      <c r="G463" s="157">
        <v>558461</v>
      </c>
      <c r="H463" s="156">
        <v>54260.66</v>
      </c>
      <c r="I463" s="156">
        <v>0</v>
      </c>
      <c r="J463" s="156">
        <v>0</v>
      </c>
      <c r="K463" s="156">
        <v>530.28</v>
      </c>
      <c r="L463" s="156">
        <v>0</v>
      </c>
      <c r="M463" s="156">
        <v>0</v>
      </c>
      <c r="N463" s="156">
        <f t="shared" si="79"/>
        <v>530.28</v>
      </c>
      <c r="O463" s="156">
        <v>0</v>
      </c>
      <c r="P463" s="156">
        <v>0</v>
      </c>
      <c r="Q463" s="156">
        <v>0</v>
      </c>
      <c r="R463" s="156">
        <v>0</v>
      </c>
      <c r="S463" s="156">
        <v>0</v>
      </c>
      <c r="T463" s="156">
        <v>96.43</v>
      </c>
      <c r="U463" s="156">
        <v>0</v>
      </c>
      <c r="V463" s="156">
        <v>0</v>
      </c>
      <c r="W463" s="156">
        <v>0</v>
      </c>
      <c r="X463" s="156">
        <v>0</v>
      </c>
      <c r="Y463" s="156">
        <v>0</v>
      </c>
      <c r="Z463" s="156">
        <v>396.52</v>
      </c>
      <c r="AA463" s="156">
        <v>0</v>
      </c>
      <c r="AB463" s="156">
        <v>0</v>
      </c>
      <c r="AC463" s="156">
        <v>0</v>
      </c>
      <c r="AD463" s="156">
        <v>0</v>
      </c>
      <c r="AE463" s="156">
        <v>0</v>
      </c>
      <c r="AF463" s="156">
        <v>0</v>
      </c>
      <c r="AG463" s="156">
        <v>0</v>
      </c>
      <c r="AH463" s="156">
        <v>0</v>
      </c>
      <c r="AI463" s="156">
        <v>0</v>
      </c>
      <c r="AJ463" s="156">
        <v>0</v>
      </c>
      <c r="AK463" s="156">
        <v>0</v>
      </c>
      <c r="AL463" s="156">
        <v>0</v>
      </c>
      <c r="AM463" s="156">
        <v>-2066.31</v>
      </c>
      <c r="AN463" s="156">
        <v>0</v>
      </c>
      <c r="AO463" s="156">
        <v>0</v>
      </c>
      <c r="AP463" s="156">
        <v>0</v>
      </c>
      <c r="AQ463" s="156">
        <v>0</v>
      </c>
      <c r="AR463" s="156">
        <v>0</v>
      </c>
      <c r="AS463" s="156">
        <v>0</v>
      </c>
      <c r="AT463" s="156">
        <f t="shared" si="80"/>
        <v>53217.58</v>
      </c>
    </row>
    <row r="464" spans="1:46" ht="11.25" hidden="1" outlineLevel="3">
      <c r="A464" s="155" t="s">
        <v>152</v>
      </c>
      <c r="B464" s="155" t="s">
        <v>158</v>
      </c>
      <c r="C464" s="155" t="s">
        <v>133</v>
      </c>
      <c r="D464" s="156" t="s">
        <v>144</v>
      </c>
      <c r="E464" s="156" t="s">
        <v>140</v>
      </c>
      <c r="F464" s="157">
        <v>0</v>
      </c>
      <c r="G464" s="157">
        <v>137920</v>
      </c>
      <c r="H464" s="156">
        <v>14214.22</v>
      </c>
      <c r="I464" s="156">
        <v>0</v>
      </c>
      <c r="J464" s="156">
        <v>0</v>
      </c>
      <c r="K464" s="156">
        <v>35.119999999999997</v>
      </c>
      <c r="L464" s="156">
        <v>0</v>
      </c>
      <c r="M464" s="156">
        <v>0</v>
      </c>
      <c r="N464" s="156">
        <f t="shared" si="79"/>
        <v>35.119999999999997</v>
      </c>
      <c r="O464" s="156">
        <v>0</v>
      </c>
      <c r="P464" s="156">
        <v>0</v>
      </c>
      <c r="Q464" s="156">
        <v>0</v>
      </c>
      <c r="R464" s="156">
        <v>0</v>
      </c>
      <c r="S464" s="156">
        <v>0</v>
      </c>
      <c r="T464" s="156">
        <v>0</v>
      </c>
      <c r="U464" s="156">
        <v>0</v>
      </c>
      <c r="V464" s="156">
        <v>0</v>
      </c>
      <c r="W464" s="156">
        <v>0</v>
      </c>
      <c r="X464" s="156">
        <v>0</v>
      </c>
      <c r="Y464" s="156">
        <v>0</v>
      </c>
      <c r="Z464" s="156">
        <v>97.93</v>
      </c>
      <c r="AA464" s="156">
        <v>0</v>
      </c>
      <c r="AB464" s="156">
        <v>0</v>
      </c>
      <c r="AC464" s="156">
        <v>0</v>
      </c>
      <c r="AD464" s="156">
        <v>0</v>
      </c>
      <c r="AE464" s="156">
        <v>0</v>
      </c>
      <c r="AF464" s="156">
        <v>0</v>
      </c>
      <c r="AG464" s="156">
        <v>0</v>
      </c>
      <c r="AH464" s="156">
        <v>0</v>
      </c>
      <c r="AI464" s="156">
        <v>0</v>
      </c>
      <c r="AJ464" s="156">
        <v>0</v>
      </c>
      <c r="AK464" s="156">
        <v>0</v>
      </c>
      <c r="AL464" s="156">
        <v>0</v>
      </c>
      <c r="AM464" s="156">
        <v>-510.31</v>
      </c>
      <c r="AN464" s="156">
        <v>0</v>
      </c>
      <c r="AO464" s="156">
        <v>0</v>
      </c>
      <c r="AP464" s="156">
        <v>0</v>
      </c>
      <c r="AQ464" s="156">
        <v>0</v>
      </c>
      <c r="AR464" s="156">
        <v>0</v>
      </c>
      <c r="AS464" s="156">
        <v>0</v>
      </c>
      <c r="AT464" s="156">
        <f t="shared" si="80"/>
        <v>13836.960000000001</v>
      </c>
    </row>
    <row r="465" spans="1:46" ht="11.25" hidden="1" outlineLevel="3">
      <c r="A465" s="155" t="s">
        <v>152</v>
      </c>
      <c r="B465" s="155" t="s">
        <v>158</v>
      </c>
      <c r="C465" s="155" t="s">
        <v>133</v>
      </c>
      <c r="D465" s="156" t="s">
        <v>144</v>
      </c>
      <c r="E465" s="156" t="s">
        <v>140</v>
      </c>
      <c r="F465" s="157">
        <v>0</v>
      </c>
      <c r="G465" s="157">
        <v>613171</v>
      </c>
      <c r="H465" s="156">
        <v>63495.01</v>
      </c>
      <c r="I465" s="156">
        <v>0</v>
      </c>
      <c r="J465" s="156">
        <v>0</v>
      </c>
      <c r="K465" s="156">
        <v>1034.75</v>
      </c>
      <c r="L465" s="156">
        <v>0</v>
      </c>
      <c r="M465" s="156">
        <v>0</v>
      </c>
      <c r="N465" s="156">
        <f t="shared" si="79"/>
        <v>1034.75</v>
      </c>
      <c r="O465" s="156">
        <v>0</v>
      </c>
      <c r="P465" s="156">
        <v>0</v>
      </c>
      <c r="Q465" s="156">
        <v>0</v>
      </c>
      <c r="R465" s="156">
        <v>0</v>
      </c>
      <c r="S465" s="156">
        <v>0</v>
      </c>
      <c r="T465" s="156">
        <v>0</v>
      </c>
      <c r="U465" s="156">
        <v>0</v>
      </c>
      <c r="V465" s="156">
        <v>0</v>
      </c>
      <c r="W465" s="156">
        <v>0</v>
      </c>
      <c r="X465" s="156">
        <v>0</v>
      </c>
      <c r="Y465" s="156">
        <v>0</v>
      </c>
      <c r="Z465" s="156">
        <v>435.36</v>
      </c>
      <c r="AA465" s="156">
        <v>0</v>
      </c>
      <c r="AB465" s="156">
        <v>0</v>
      </c>
      <c r="AC465" s="156">
        <v>0</v>
      </c>
      <c r="AD465" s="156">
        <v>0</v>
      </c>
      <c r="AE465" s="156">
        <v>0</v>
      </c>
      <c r="AF465" s="156">
        <v>0</v>
      </c>
      <c r="AG465" s="156">
        <v>0</v>
      </c>
      <c r="AH465" s="156">
        <v>0</v>
      </c>
      <c r="AI465" s="156">
        <v>0</v>
      </c>
      <c r="AJ465" s="156">
        <v>0</v>
      </c>
      <c r="AK465" s="156">
        <v>0</v>
      </c>
      <c r="AL465" s="156">
        <v>0</v>
      </c>
      <c r="AM465" s="156">
        <v>-2268.7399999999998</v>
      </c>
      <c r="AN465" s="156">
        <v>0</v>
      </c>
      <c r="AO465" s="156">
        <v>0</v>
      </c>
      <c r="AP465" s="156">
        <v>0</v>
      </c>
      <c r="AQ465" s="156">
        <v>0</v>
      </c>
      <c r="AR465" s="156">
        <v>0</v>
      </c>
      <c r="AS465" s="156">
        <v>0</v>
      </c>
      <c r="AT465" s="156">
        <f t="shared" si="80"/>
        <v>62696.380000000005</v>
      </c>
    </row>
    <row r="466" spans="1:46" ht="11.25" hidden="1" outlineLevel="3">
      <c r="A466" s="155" t="s">
        <v>152</v>
      </c>
      <c r="B466" s="155" t="s">
        <v>159</v>
      </c>
      <c r="C466" s="155" t="s">
        <v>133</v>
      </c>
      <c r="D466" s="156" t="s">
        <v>144</v>
      </c>
      <c r="E466" s="156" t="s">
        <v>140</v>
      </c>
      <c r="F466" s="157">
        <v>0</v>
      </c>
      <c r="G466" s="157">
        <v>72960</v>
      </c>
      <c r="H466" s="156">
        <v>6799.19</v>
      </c>
      <c r="I466" s="156">
        <v>0</v>
      </c>
      <c r="J466" s="156">
        <v>0</v>
      </c>
      <c r="K466" s="156">
        <v>86.8</v>
      </c>
      <c r="L466" s="156">
        <v>0</v>
      </c>
      <c r="M466" s="156">
        <v>0</v>
      </c>
      <c r="N466" s="156">
        <f t="shared" si="79"/>
        <v>86.8</v>
      </c>
      <c r="O466" s="156">
        <v>0</v>
      </c>
      <c r="P466" s="156">
        <v>0</v>
      </c>
      <c r="Q466" s="156">
        <v>0</v>
      </c>
      <c r="R466" s="156">
        <v>0</v>
      </c>
      <c r="S466" s="156">
        <v>0</v>
      </c>
      <c r="T466" s="156">
        <v>0</v>
      </c>
      <c r="U466" s="156">
        <v>0</v>
      </c>
      <c r="V466" s="156">
        <v>0</v>
      </c>
      <c r="W466" s="156">
        <v>0</v>
      </c>
      <c r="X466" s="156">
        <v>0</v>
      </c>
      <c r="Y466" s="156">
        <v>0</v>
      </c>
      <c r="Z466" s="156">
        <v>51.79</v>
      </c>
      <c r="AA466" s="156">
        <v>0</v>
      </c>
      <c r="AB466" s="156">
        <v>0</v>
      </c>
      <c r="AC466" s="156">
        <v>0</v>
      </c>
      <c r="AD466" s="156">
        <v>0</v>
      </c>
      <c r="AE466" s="156">
        <v>0</v>
      </c>
      <c r="AF466" s="156">
        <v>0</v>
      </c>
      <c r="AG466" s="156">
        <v>0</v>
      </c>
      <c r="AH466" s="156">
        <v>0</v>
      </c>
      <c r="AI466" s="156">
        <v>0</v>
      </c>
      <c r="AJ466" s="156">
        <v>0</v>
      </c>
      <c r="AK466" s="156">
        <v>0</v>
      </c>
      <c r="AL466" s="156">
        <v>0</v>
      </c>
      <c r="AM466" s="156">
        <v>-269.95999999999998</v>
      </c>
      <c r="AN466" s="156">
        <v>0</v>
      </c>
      <c r="AO466" s="156">
        <v>0</v>
      </c>
      <c r="AP466" s="156">
        <v>0</v>
      </c>
      <c r="AQ466" s="156">
        <v>0</v>
      </c>
      <c r="AR466" s="156">
        <v>0</v>
      </c>
      <c r="AS466" s="156">
        <v>0</v>
      </c>
      <c r="AT466" s="156">
        <f t="shared" si="80"/>
        <v>6667.82</v>
      </c>
    </row>
    <row r="467" spans="1:46" ht="11.25" hidden="1" outlineLevel="3">
      <c r="A467" s="155" t="s">
        <v>152</v>
      </c>
      <c r="B467" s="155" t="s">
        <v>159</v>
      </c>
      <c r="C467" s="155" t="s">
        <v>133</v>
      </c>
      <c r="D467" s="156" t="s">
        <v>144</v>
      </c>
      <c r="E467" s="156" t="s">
        <v>140</v>
      </c>
      <c r="F467" s="157">
        <v>0</v>
      </c>
      <c r="G467" s="157">
        <v>64126</v>
      </c>
      <c r="H467" s="156">
        <v>7428.03</v>
      </c>
      <c r="I467" s="156">
        <v>0</v>
      </c>
      <c r="J467" s="156">
        <v>0</v>
      </c>
      <c r="K467" s="156">
        <v>-48.93</v>
      </c>
      <c r="L467" s="156">
        <v>0</v>
      </c>
      <c r="M467" s="156">
        <v>0</v>
      </c>
      <c r="N467" s="156">
        <f t="shared" si="79"/>
        <v>-48.93</v>
      </c>
      <c r="O467" s="156">
        <v>0</v>
      </c>
      <c r="P467" s="156">
        <v>0</v>
      </c>
      <c r="Q467" s="156">
        <v>0</v>
      </c>
      <c r="R467" s="156">
        <v>0</v>
      </c>
      <c r="S467" s="156">
        <v>0</v>
      </c>
      <c r="T467" s="156">
        <v>0</v>
      </c>
      <c r="U467" s="156">
        <v>0</v>
      </c>
      <c r="V467" s="156">
        <v>0</v>
      </c>
      <c r="W467" s="156">
        <v>0</v>
      </c>
      <c r="X467" s="156">
        <v>0</v>
      </c>
      <c r="Y467" s="156">
        <v>0</v>
      </c>
      <c r="Z467" s="156">
        <v>45.53</v>
      </c>
      <c r="AA467" s="156">
        <v>0</v>
      </c>
      <c r="AB467" s="156">
        <v>0</v>
      </c>
      <c r="AC467" s="156">
        <v>0</v>
      </c>
      <c r="AD467" s="156">
        <v>0</v>
      </c>
      <c r="AE467" s="156">
        <v>0</v>
      </c>
      <c r="AF467" s="156">
        <v>0</v>
      </c>
      <c r="AG467" s="156">
        <v>0</v>
      </c>
      <c r="AH467" s="156">
        <v>0</v>
      </c>
      <c r="AI467" s="156">
        <v>0</v>
      </c>
      <c r="AJ467" s="156">
        <v>0</v>
      </c>
      <c r="AK467" s="156">
        <v>0</v>
      </c>
      <c r="AL467" s="156">
        <v>0</v>
      </c>
      <c r="AM467" s="156">
        <v>-237.26</v>
      </c>
      <c r="AN467" s="156">
        <v>0</v>
      </c>
      <c r="AO467" s="156">
        <v>0</v>
      </c>
      <c r="AP467" s="156">
        <v>0</v>
      </c>
      <c r="AQ467" s="156">
        <v>0</v>
      </c>
      <c r="AR467" s="156">
        <v>0</v>
      </c>
      <c r="AS467" s="156">
        <v>0</v>
      </c>
      <c r="AT467" s="156">
        <f t="shared" si="80"/>
        <v>7187.369999999999</v>
      </c>
    </row>
    <row r="468" spans="1:46" ht="11.25" hidden="1" outlineLevel="3">
      <c r="A468" s="155" t="s">
        <v>152</v>
      </c>
      <c r="B468" s="155" t="s">
        <v>160</v>
      </c>
      <c r="C468" s="155" t="s">
        <v>133</v>
      </c>
      <c r="D468" s="156" t="s">
        <v>144</v>
      </c>
      <c r="E468" s="156" t="s">
        <v>140</v>
      </c>
      <c r="F468" s="157">
        <v>0</v>
      </c>
      <c r="G468" s="157">
        <v>76840</v>
      </c>
      <c r="H468" s="156">
        <v>8111.34</v>
      </c>
      <c r="I468" s="156">
        <v>0</v>
      </c>
      <c r="J468" s="156">
        <v>0</v>
      </c>
      <c r="K468" s="156">
        <v>123.65</v>
      </c>
      <c r="L468" s="156">
        <v>0</v>
      </c>
      <c r="M468" s="156">
        <v>0</v>
      </c>
      <c r="N468" s="156">
        <f t="shared" si="79"/>
        <v>123.65</v>
      </c>
      <c r="O468" s="156">
        <v>0</v>
      </c>
      <c r="P468" s="156">
        <v>0</v>
      </c>
      <c r="Q468" s="156">
        <v>0</v>
      </c>
      <c r="R468" s="156">
        <v>0</v>
      </c>
      <c r="S468" s="156">
        <v>0</v>
      </c>
      <c r="T468" s="156">
        <v>0</v>
      </c>
      <c r="U468" s="156">
        <v>0</v>
      </c>
      <c r="V468" s="156">
        <v>0</v>
      </c>
      <c r="W468" s="156">
        <v>0</v>
      </c>
      <c r="X468" s="156">
        <v>0</v>
      </c>
      <c r="Y468" s="156">
        <v>0</v>
      </c>
      <c r="Z468" s="156">
        <v>54.56</v>
      </c>
      <c r="AA468" s="156">
        <v>0</v>
      </c>
      <c r="AB468" s="156">
        <v>0</v>
      </c>
      <c r="AC468" s="156">
        <v>0</v>
      </c>
      <c r="AD468" s="156">
        <v>0</v>
      </c>
      <c r="AE468" s="156">
        <v>0</v>
      </c>
      <c r="AF468" s="156">
        <v>0</v>
      </c>
      <c r="AG468" s="156">
        <v>0</v>
      </c>
      <c r="AH468" s="156">
        <v>0</v>
      </c>
      <c r="AI468" s="156">
        <v>0</v>
      </c>
      <c r="AJ468" s="156">
        <v>0</v>
      </c>
      <c r="AK468" s="156">
        <v>0</v>
      </c>
      <c r="AL468" s="156">
        <v>0</v>
      </c>
      <c r="AM468" s="156">
        <v>-284.31</v>
      </c>
      <c r="AN468" s="156">
        <v>0</v>
      </c>
      <c r="AO468" s="156">
        <v>0</v>
      </c>
      <c r="AP468" s="156">
        <v>0</v>
      </c>
      <c r="AQ468" s="156">
        <v>0</v>
      </c>
      <c r="AR468" s="156">
        <v>0</v>
      </c>
      <c r="AS468" s="156">
        <v>0</v>
      </c>
      <c r="AT468" s="156">
        <f t="shared" si="80"/>
        <v>8005.2399999999989</v>
      </c>
    </row>
    <row r="469" spans="1:46" ht="11.25" hidden="1" outlineLevel="3">
      <c r="A469" s="155" t="s">
        <v>152</v>
      </c>
      <c r="B469" s="155" t="s">
        <v>160</v>
      </c>
      <c r="C469" s="155" t="s">
        <v>133</v>
      </c>
      <c r="D469" s="156" t="s">
        <v>144</v>
      </c>
      <c r="E469" s="156" t="s">
        <v>140</v>
      </c>
      <c r="F469" s="157">
        <v>0</v>
      </c>
      <c r="G469" s="157">
        <v>492093</v>
      </c>
      <c r="H469" s="156">
        <v>47971.5</v>
      </c>
      <c r="I469" s="156">
        <v>0</v>
      </c>
      <c r="J469" s="156">
        <v>0</v>
      </c>
      <c r="K469" s="156">
        <v>545.29</v>
      </c>
      <c r="L469" s="156">
        <v>0</v>
      </c>
      <c r="M469" s="156">
        <v>0</v>
      </c>
      <c r="N469" s="156">
        <f t="shared" si="79"/>
        <v>545.29</v>
      </c>
      <c r="O469" s="156">
        <v>0</v>
      </c>
      <c r="P469" s="156">
        <v>0</v>
      </c>
      <c r="Q469" s="156">
        <v>0</v>
      </c>
      <c r="R469" s="156">
        <v>0</v>
      </c>
      <c r="S469" s="156">
        <v>0</v>
      </c>
      <c r="T469" s="156">
        <v>0</v>
      </c>
      <c r="U469" s="156">
        <v>0</v>
      </c>
      <c r="V469" s="156">
        <v>0</v>
      </c>
      <c r="W469" s="156">
        <v>0</v>
      </c>
      <c r="X469" s="156">
        <v>0</v>
      </c>
      <c r="Y469" s="156">
        <v>0</v>
      </c>
      <c r="Z469" s="156">
        <v>349.38</v>
      </c>
      <c r="AA469" s="156">
        <v>0</v>
      </c>
      <c r="AB469" s="156">
        <v>0</v>
      </c>
      <c r="AC469" s="156">
        <v>0</v>
      </c>
      <c r="AD469" s="156">
        <v>0</v>
      </c>
      <c r="AE469" s="156">
        <v>0</v>
      </c>
      <c r="AF469" s="156">
        <v>0</v>
      </c>
      <c r="AG469" s="156">
        <v>0</v>
      </c>
      <c r="AH469" s="156">
        <v>0</v>
      </c>
      <c r="AI469" s="156">
        <v>0</v>
      </c>
      <c r="AJ469" s="156">
        <v>0</v>
      </c>
      <c r="AK469" s="156">
        <v>0</v>
      </c>
      <c r="AL469" s="156">
        <v>0</v>
      </c>
      <c r="AM469" s="156">
        <v>-1820.75</v>
      </c>
      <c r="AN469" s="156">
        <v>0</v>
      </c>
      <c r="AO469" s="156">
        <v>0</v>
      </c>
      <c r="AP469" s="156">
        <v>0</v>
      </c>
      <c r="AQ469" s="156">
        <v>0</v>
      </c>
      <c r="AR469" s="156">
        <v>0</v>
      </c>
      <c r="AS469" s="156">
        <v>0</v>
      </c>
      <c r="AT469" s="156">
        <f t="shared" si="80"/>
        <v>47045.42</v>
      </c>
    </row>
    <row r="470" spans="1:46" ht="11.25" hidden="1" outlineLevel="3">
      <c r="A470" s="155" t="s">
        <v>167</v>
      </c>
      <c r="B470" s="155" t="s">
        <v>146</v>
      </c>
      <c r="C470" s="155" t="s">
        <v>133</v>
      </c>
      <c r="D470" s="156" t="s">
        <v>144</v>
      </c>
      <c r="E470" s="156" t="s">
        <v>140</v>
      </c>
      <c r="F470" s="157">
        <v>0</v>
      </c>
      <c r="G470" s="157">
        <v>10160</v>
      </c>
      <c r="H470" s="156">
        <v>1502.41</v>
      </c>
      <c r="I470" s="156">
        <v>0</v>
      </c>
      <c r="J470" s="156">
        <v>279.07</v>
      </c>
      <c r="K470" s="156">
        <v>0</v>
      </c>
      <c r="L470" s="156">
        <v>0</v>
      </c>
      <c r="M470" s="156">
        <v>0</v>
      </c>
      <c r="N470" s="156">
        <f t="shared" si="79"/>
        <v>279.07</v>
      </c>
      <c r="O470" s="156">
        <v>0</v>
      </c>
      <c r="P470" s="156">
        <v>0</v>
      </c>
      <c r="Q470" s="156">
        <v>0</v>
      </c>
      <c r="R470" s="156">
        <v>0</v>
      </c>
      <c r="S470" s="156">
        <v>0</v>
      </c>
      <c r="T470" s="156">
        <v>0</v>
      </c>
      <c r="U470" s="156">
        <v>0</v>
      </c>
      <c r="V470" s="156">
        <v>0</v>
      </c>
      <c r="W470" s="156">
        <v>0</v>
      </c>
      <c r="X470" s="156">
        <v>3.15</v>
      </c>
      <c r="Y470" s="156">
        <v>0</v>
      </c>
      <c r="Z470" s="156">
        <v>0</v>
      </c>
      <c r="AA470" s="156">
        <v>0</v>
      </c>
      <c r="AB470" s="156">
        <v>0</v>
      </c>
      <c r="AC470" s="156">
        <v>0</v>
      </c>
      <c r="AD470" s="156">
        <v>0</v>
      </c>
      <c r="AE470" s="156">
        <v>0</v>
      </c>
      <c r="AF470" s="156">
        <v>0</v>
      </c>
      <c r="AG470" s="156">
        <v>0</v>
      </c>
      <c r="AH470" s="156">
        <v>0</v>
      </c>
      <c r="AI470" s="156">
        <v>0</v>
      </c>
      <c r="AJ470" s="156">
        <v>0</v>
      </c>
      <c r="AK470" s="156">
        <v>0</v>
      </c>
      <c r="AL470" s="156">
        <v>0</v>
      </c>
      <c r="AM470" s="156">
        <v>-83.72</v>
      </c>
      <c r="AN470" s="156">
        <v>0</v>
      </c>
      <c r="AO470" s="156">
        <v>0</v>
      </c>
      <c r="AP470" s="156">
        <v>0</v>
      </c>
      <c r="AQ470" s="156">
        <v>0</v>
      </c>
      <c r="AR470" s="156">
        <v>0</v>
      </c>
      <c r="AS470" s="156">
        <v>0</v>
      </c>
      <c r="AT470" s="156">
        <f t="shared" si="80"/>
        <v>1700.91</v>
      </c>
    </row>
    <row r="471" spans="1:46" ht="11.25" hidden="1" outlineLevel="3">
      <c r="A471" s="155" t="s">
        <v>167</v>
      </c>
      <c r="B471" s="155" t="s">
        <v>146</v>
      </c>
      <c r="C471" s="155" t="s">
        <v>133</v>
      </c>
      <c r="D471" s="156" t="s">
        <v>144</v>
      </c>
      <c r="E471" s="156" t="s">
        <v>140</v>
      </c>
      <c r="F471" s="157">
        <v>0</v>
      </c>
      <c r="G471" s="157">
        <v>86725</v>
      </c>
      <c r="H471" s="156">
        <v>7173.19</v>
      </c>
      <c r="I471" s="156">
        <v>0</v>
      </c>
      <c r="J471" s="156">
        <v>2382.16</v>
      </c>
      <c r="K471" s="156">
        <v>0</v>
      </c>
      <c r="L471" s="156">
        <v>0</v>
      </c>
      <c r="M471" s="156">
        <v>0</v>
      </c>
      <c r="N471" s="156">
        <f t="shared" si="79"/>
        <v>2382.16</v>
      </c>
      <c r="O471" s="156">
        <v>0</v>
      </c>
      <c r="P471" s="156">
        <v>0</v>
      </c>
      <c r="Q471" s="156">
        <v>0</v>
      </c>
      <c r="R471" s="156">
        <v>0</v>
      </c>
      <c r="S471" s="156">
        <v>0</v>
      </c>
      <c r="T471" s="156">
        <v>0</v>
      </c>
      <c r="U471" s="156">
        <v>0</v>
      </c>
      <c r="V471" s="156">
        <v>0</v>
      </c>
      <c r="W471" s="156">
        <v>0</v>
      </c>
      <c r="X471" s="156">
        <v>26.88</v>
      </c>
      <c r="Y471" s="156">
        <v>0</v>
      </c>
      <c r="Z471" s="156">
        <v>0</v>
      </c>
      <c r="AA471" s="156">
        <v>0</v>
      </c>
      <c r="AB471" s="156">
        <v>0</v>
      </c>
      <c r="AC471" s="156">
        <v>0</v>
      </c>
      <c r="AD471" s="156">
        <v>0</v>
      </c>
      <c r="AE471" s="156">
        <v>0</v>
      </c>
      <c r="AF471" s="156">
        <v>0</v>
      </c>
      <c r="AG471" s="156">
        <v>0</v>
      </c>
      <c r="AH471" s="156">
        <v>0</v>
      </c>
      <c r="AI471" s="156">
        <v>0</v>
      </c>
      <c r="AJ471" s="156">
        <v>0</v>
      </c>
      <c r="AK471" s="156">
        <v>0</v>
      </c>
      <c r="AL471" s="156">
        <v>0</v>
      </c>
      <c r="AM471" s="156">
        <v>-714.62</v>
      </c>
      <c r="AN471" s="156">
        <v>0</v>
      </c>
      <c r="AO471" s="156">
        <v>0</v>
      </c>
      <c r="AP471" s="156">
        <v>0</v>
      </c>
      <c r="AQ471" s="156">
        <v>0</v>
      </c>
      <c r="AR471" s="156">
        <v>0</v>
      </c>
      <c r="AS471" s="156">
        <v>0</v>
      </c>
      <c r="AT471" s="156">
        <f t="shared" si="80"/>
        <v>8867.6099999999969</v>
      </c>
    </row>
    <row r="472" spans="1:46" ht="11.25" outlineLevel="2" collapsed="1">
      <c r="D472" s="156"/>
      <c r="E472" s="156" t="s">
        <v>220</v>
      </c>
      <c r="F472" s="157">
        <v>193</v>
      </c>
      <c r="G472" s="157">
        <f t="shared" ref="G472:AT472" si="81">SUBTOTAL(9,G449:G471)</f>
        <v>6903657</v>
      </c>
      <c r="H472" s="156">
        <f t="shared" si="81"/>
        <v>629903.80999999994</v>
      </c>
      <c r="I472" s="156">
        <f t="shared" si="81"/>
        <v>0</v>
      </c>
      <c r="J472" s="156">
        <f t="shared" si="81"/>
        <v>2661.23</v>
      </c>
      <c r="K472" s="156">
        <f t="shared" si="81"/>
        <v>10570.79</v>
      </c>
      <c r="L472" s="156">
        <f t="shared" si="81"/>
        <v>16641.03</v>
      </c>
      <c r="M472" s="156">
        <f t="shared" si="81"/>
        <v>7200.8399999999992</v>
      </c>
      <c r="N472" s="156">
        <f t="shared" si="81"/>
        <v>37073.89</v>
      </c>
      <c r="O472" s="156">
        <f t="shared" si="81"/>
        <v>1717.75</v>
      </c>
      <c r="P472" s="156">
        <f t="shared" si="81"/>
        <v>1228.7</v>
      </c>
      <c r="Q472" s="156">
        <f t="shared" si="81"/>
        <v>325.49999999999994</v>
      </c>
      <c r="R472" s="156">
        <f t="shared" si="81"/>
        <v>0</v>
      </c>
      <c r="S472" s="156">
        <f t="shared" si="81"/>
        <v>0</v>
      </c>
      <c r="T472" s="156">
        <f t="shared" si="81"/>
        <v>1186.02</v>
      </c>
      <c r="U472" s="156">
        <f t="shared" si="81"/>
        <v>0</v>
      </c>
      <c r="V472" s="156">
        <f t="shared" si="81"/>
        <v>0</v>
      </c>
      <c r="W472" s="156">
        <f t="shared" si="81"/>
        <v>0</v>
      </c>
      <c r="X472" s="156">
        <f t="shared" si="81"/>
        <v>30.029999999999998</v>
      </c>
      <c r="Y472" s="156">
        <f t="shared" si="81"/>
        <v>1141.3599999999999</v>
      </c>
      <c r="Z472" s="156">
        <f t="shared" si="81"/>
        <v>4252.55</v>
      </c>
      <c r="AA472" s="156">
        <f t="shared" si="81"/>
        <v>773.87</v>
      </c>
      <c r="AB472" s="156">
        <f t="shared" si="81"/>
        <v>0</v>
      </c>
      <c r="AC472" s="156">
        <f t="shared" si="81"/>
        <v>0</v>
      </c>
      <c r="AD472" s="156">
        <f t="shared" si="81"/>
        <v>0</v>
      </c>
      <c r="AE472" s="156">
        <f t="shared" si="81"/>
        <v>0</v>
      </c>
      <c r="AF472" s="156">
        <f t="shared" si="81"/>
        <v>0</v>
      </c>
      <c r="AG472" s="156">
        <f t="shared" si="81"/>
        <v>0</v>
      </c>
      <c r="AH472" s="156">
        <f t="shared" si="81"/>
        <v>0</v>
      </c>
      <c r="AI472" s="156">
        <f t="shared" si="81"/>
        <v>0</v>
      </c>
      <c r="AJ472" s="156">
        <f t="shared" si="81"/>
        <v>0</v>
      </c>
      <c r="AK472" s="156">
        <f t="shared" si="81"/>
        <v>0</v>
      </c>
      <c r="AL472" s="156">
        <f t="shared" si="81"/>
        <v>3409.36</v>
      </c>
      <c r="AM472" s="156">
        <f t="shared" si="81"/>
        <v>-27914.460000000003</v>
      </c>
      <c r="AN472" s="156">
        <f t="shared" si="81"/>
        <v>0</v>
      </c>
      <c r="AO472" s="156">
        <f t="shared" si="81"/>
        <v>1446.1200000000001</v>
      </c>
      <c r="AP472" s="156">
        <f t="shared" si="81"/>
        <v>0</v>
      </c>
      <c r="AQ472" s="156">
        <f t="shared" si="81"/>
        <v>0</v>
      </c>
      <c r="AR472" s="156">
        <f t="shared" si="81"/>
        <v>-339.17</v>
      </c>
      <c r="AS472" s="156">
        <f t="shared" si="81"/>
        <v>-35839.541547277899</v>
      </c>
      <c r="AT472" s="156">
        <f t="shared" si="81"/>
        <v>651165.14</v>
      </c>
    </row>
    <row r="473" spans="1:46" ht="11.25" hidden="1" outlineLevel="3">
      <c r="A473" s="155" t="s">
        <v>145</v>
      </c>
      <c r="B473" s="155" t="s">
        <v>146</v>
      </c>
      <c r="C473" s="155" t="s">
        <v>133</v>
      </c>
      <c r="D473" s="156" t="s">
        <v>144</v>
      </c>
      <c r="E473" s="156" t="s">
        <v>141</v>
      </c>
      <c r="F473" s="157">
        <v>0</v>
      </c>
      <c r="G473" s="157">
        <v>400</v>
      </c>
      <c r="H473" s="156">
        <v>52.32</v>
      </c>
      <c r="I473" s="156">
        <v>0</v>
      </c>
      <c r="J473" s="156">
        <v>0</v>
      </c>
      <c r="K473" s="156">
        <v>0</v>
      </c>
      <c r="L473" s="156">
        <v>0</v>
      </c>
      <c r="M473" s="156">
        <v>11.68</v>
      </c>
      <c r="N473" s="156">
        <f>J473+K473+L473+M473</f>
        <v>11.68</v>
      </c>
      <c r="O473" s="156">
        <v>0</v>
      </c>
      <c r="P473" s="156">
        <v>0</v>
      </c>
      <c r="Q473" s="156">
        <v>0.53</v>
      </c>
      <c r="R473" s="156">
        <v>0</v>
      </c>
      <c r="S473" s="156">
        <v>0</v>
      </c>
      <c r="T473" s="156">
        <v>0</v>
      </c>
      <c r="U473" s="156">
        <v>0</v>
      </c>
      <c r="V473" s="156">
        <v>0</v>
      </c>
      <c r="W473" s="156">
        <v>0</v>
      </c>
      <c r="X473" s="156">
        <v>0</v>
      </c>
      <c r="Y473" s="156">
        <v>0</v>
      </c>
      <c r="Z473" s="156">
        <v>0</v>
      </c>
      <c r="AA473" s="156">
        <v>0</v>
      </c>
      <c r="AB473" s="156">
        <v>0</v>
      </c>
      <c r="AC473" s="156">
        <v>0</v>
      </c>
      <c r="AD473" s="156">
        <v>0</v>
      </c>
      <c r="AE473" s="156">
        <v>0</v>
      </c>
      <c r="AF473" s="156">
        <v>0</v>
      </c>
      <c r="AG473" s="156">
        <v>0</v>
      </c>
      <c r="AH473" s="156">
        <v>0</v>
      </c>
      <c r="AI473" s="156">
        <v>0</v>
      </c>
      <c r="AJ473" s="156">
        <v>0</v>
      </c>
      <c r="AK473" s="156">
        <v>0</v>
      </c>
      <c r="AL473" s="156">
        <v>0</v>
      </c>
      <c r="AM473" s="156">
        <v>0</v>
      </c>
      <c r="AN473" s="156">
        <v>0</v>
      </c>
      <c r="AO473" s="156">
        <v>0.28000000000000003</v>
      </c>
      <c r="AP473" s="156">
        <v>0</v>
      </c>
      <c r="AQ473" s="156">
        <v>0</v>
      </c>
      <c r="AR473" s="156">
        <v>0</v>
      </c>
      <c r="AS473" s="156">
        <v>0</v>
      </c>
      <c r="AT473" s="156">
        <f>H473+I473+N473+O473+P473+Q473+T473+X473+Y473+Z473+AA473+AB473+AM473+AO473</f>
        <v>64.81</v>
      </c>
    </row>
    <row r="474" spans="1:46" ht="11.25" hidden="1" outlineLevel="3">
      <c r="A474" s="155" t="s">
        <v>152</v>
      </c>
      <c r="B474" s="155" t="s">
        <v>155</v>
      </c>
      <c r="C474" s="155" t="s">
        <v>133</v>
      </c>
      <c r="D474" s="156" t="s">
        <v>144</v>
      </c>
      <c r="E474" s="156" t="s">
        <v>141</v>
      </c>
      <c r="F474" s="157">
        <v>0</v>
      </c>
      <c r="G474" s="157">
        <v>2233</v>
      </c>
      <c r="H474" s="156">
        <v>343.4</v>
      </c>
      <c r="I474" s="156">
        <v>0</v>
      </c>
      <c r="J474" s="156">
        <v>0</v>
      </c>
      <c r="K474" s="156">
        <v>-1.71</v>
      </c>
      <c r="L474" s="156">
        <v>0</v>
      </c>
      <c r="M474" s="156">
        <v>0</v>
      </c>
      <c r="N474" s="156">
        <f>J474+K474+L474+M474</f>
        <v>-1.71</v>
      </c>
      <c r="O474" s="156">
        <v>0</v>
      </c>
      <c r="P474" s="156">
        <v>0</v>
      </c>
      <c r="Q474" s="156">
        <v>0</v>
      </c>
      <c r="R474" s="156">
        <v>0</v>
      </c>
      <c r="S474" s="156">
        <v>0</v>
      </c>
      <c r="T474" s="156">
        <v>0</v>
      </c>
      <c r="U474" s="156">
        <v>0</v>
      </c>
      <c r="V474" s="156">
        <v>0</v>
      </c>
      <c r="W474" s="156">
        <v>0</v>
      </c>
      <c r="X474" s="156">
        <v>0</v>
      </c>
      <c r="Y474" s="156">
        <v>0</v>
      </c>
      <c r="Z474" s="156">
        <v>1.59</v>
      </c>
      <c r="AA474" s="156">
        <v>0</v>
      </c>
      <c r="AB474" s="156">
        <v>0</v>
      </c>
      <c r="AC474" s="156">
        <v>0</v>
      </c>
      <c r="AD474" s="156">
        <v>0</v>
      </c>
      <c r="AE474" s="156">
        <v>0</v>
      </c>
      <c r="AF474" s="156">
        <v>0</v>
      </c>
      <c r="AG474" s="156">
        <v>0</v>
      </c>
      <c r="AH474" s="156">
        <v>0</v>
      </c>
      <c r="AI474" s="156">
        <v>0</v>
      </c>
      <c r="AJ474" s="156">
        <v>0</v>
      </c>
      <c r="AK474" s="156">
        <v>0</v>
      </c>
      <c r="AL474" s="156">
        <v>0</v>
      </c>
      <c r="AM474" s="156">
        <v>-15.1</v>
      </c>
      <c r="AN474" s="156">
        <v>0</v>
      </c>
      <c r="AO474" s="156">
        <v>0</v>
      </c>
      <c r="AP474" s="156">
        <v>0</v>
      </c>
      <c r="AQ474" s="156">
        <v>0</v>
      </c>
      <c r="AR474" s="156">
        <v>0</v>
      </c>
      <c r="AS474" s="156">
        <v>0</v>
      </c>
      <c r="AT474" s="156">
        <f>H474+I474+N474+O474+P474+Q474+T474+X474+Y474+Z474+AA474+AB474+AM474+AO474</f>
        <v>328.17999999999995</v>
      </c>
    </row>
    <row r="475" spans="1:46" ht="11.25" outlineLevel="2" collapsed="1">
      <c r="D475" s="156"/>
      <c r="E475" s="156" t="s">
        <v>222</v>
      </c>
      <c r="F475" s="157">
        <v>2</v>
      </c>
      <c r="G475" s="157">
        <f t="shared" ref="G475:AT475" si="82">SUBTOTAL(9,G473:G474)</f>
        <v>2633</v>
      </c>
      <c r="H475" s="156">
        <f t="shared" si="82"/>
        <v>395.71999999999997</v>
      </c>
      <c r="I475" s="156">
        <f t="shared" si="82"/>
        <v>0</v>
      </c>
      <c r="J475" s="156">
        <f t="shared" si="82"/>
        <v>0</v>
      </c>
      <c r="K475" s="156">
        <f t="shared" si="82"/>
        <v>-1.71</v>
      </c>
      <c r="L475" s="156">
        <f t="shared" si="82"/>
        <v>0</v>
      </c>
      <c r="M475" s="156">
        <f t="shared" si="82"/>
        <v>11.68</v>
      </c>
      <c r="N475" s="156">
        <f t="shared" si="82"/>
        <v>9.9699999999999989</v>
      </c>
      <c r="O475" s="156">
        <f t="shared" si="82"/>
        <v>0</v>
      </c>
      <c r="P475" s="156">
        <f t="shared" si="82"/>
        <v>0</v>
      </c>
      <c r="Q475" s="156">
        <f t="shared" si="82"/>
        <v>0.53</v>
      </c>
      <c r="R475" s="156">
        <f t="shared" si="82"/>
        <v>0</v>
      </c>
      <c r="S475" s="156">
        <f t="shared" si="82"/>
        <v>0</v>
      </c>
      <c r="T475" s="156">
        <f t="shared" si="82"/>
        <v>0</v>
      </c>
      <c r="U475" s="156">
        <f t="shared" si="82"/>
        <v>0</v>
      </c>
      <c r="V475" s="156">
        <f t="shared" si="82"/>
        <v>0</v>
      </c>
      <c r="W475" s="156">
        <f t="shared" si="82"/>
        <v>0</v>
      </c>
      <c r="X475" s="156">
        <f t="shared" si="82"/>
        <v>0</v>
      </c>
      <c r="Y475" s="156">
        <f t="shared" si="82"/>
        <v>0</v>
      </c>
      <c r="Z475" s="156">
        <f t="shared" si="82"/>
        <v>1.59</v>
      </c>
      <c r="AA475" s="156">
        <f t="shared" si="82"/>
        <v>0</v>
      </c>
      <c r="AB475" s="156">
        <f t="shared" si="82"/>
        <v>0</v>
      </c>
      <c r="AC475" s="156">
        <f t="shared" si="82"/>
        <v>0</v>
      </c>
      <c r="AD475" s="156">
        <f t="shared" si="82"/>
        <v>0</v>
      </c>
      <c r="AE475" s="156">
        <f t="shared" si="82"/>
        <v>0</v>
      </c>
      <c r="AF475" s="156">
        <f t="shared" si="82"/>
        <v>0</v>
      </c>
      <c r="AG475" s="156">
        <f t="shared" si="82"/>
        <v>0</v>
      </c>
      <c r="AH475" s="156">
        <f t="shared" si="82"/>
        <v>0</v>
      </c>
      <c r="AI475" s="156">
        <f t="shared" si="82"/>
        <v>0</v>
      </c>
      <c r="AJ475" s="156">
        <f t="shared" si="82"/>
        <v>0</v>
      </c>
      <c r="AK475" s="156">
        <f t="shared" si="82"/>
        <v>0</v>
      </c>
      <c r="AL475" s="156">
        <f t="shared" si="82"/>
        <v>0</v>
      </c>
      <c r="AM475" s="156">
        <f t="shared" si="82"/>
        <v>-15.1</v>
      </c>
      <c r="AN475" s="156">
        <f t="shared" si="82"/>
        <v>0</v>
      </c>
      <c r="AO475" s="156">
        <f t="shared" si="82"/>
        <v>0.28000000000000003</v>
      </c>
      <c r="AP475" s="156">
        <f t="shared" si="82"/>
        <v>0</v>
      </c>
      <c r="AQ475" s="156">
        <f t="shared" si="82"/>
        <v>0</v>
      </c>
      <c r="AR475" s="156">
        <f t="shared" si="82"/>
        <v>0</v>
      </c>
      <c r="AS475" s="156">
        <f t="shared" si="82"/>
        <v>0</v>
      </c>
      <c r="AT475" s="156">
        <f t="shared" si="82"/>
        <v>392.98999999999995</v>
      </c>
    </row>
    <row r="476" spans="1:46" ht="11.25" hidden="1" outlineLevel="3">
      <c r="A476" s="155" t="s">
        <v>131</v>
      </c>
      <c r="B476" s="155" t="s">
        <v>132</v>
      </c>
      <c r="C476" s="155" t="s">
        <v>135</v>
      </c>
      <c r="D476" s="156" t="s">
        <v>144</v>
      </c>
      <c r="E476" s="156" t="s">
        <v>136</v>
      </c>
      <c r="F476" s="157">
        <v>0</v>
      </c>
      <c r="G476" s="157">
        <v>65</v>
      </c>
      <c r="H476" s="156">
        <v>8.11</v>
      </c>
      <c r="I476" s="156">
        <v>0</v>
      </c>
      <c r="J476" s="156">
        <v>0</v>
      </c>
      <c r="K476" s="156">
        <v>0</v>
      </c>
      <c r="L476" s="156">
        <v>1.9</v>
      </c>
      <c r="M476" s="156">
        <v>0</v>
      </c>
      <c r="N476" s="156">
        <f t="shared" ref="N476:N481" si="83">J476+K476+L476+M476</f>
        <v>1.9</v>
      </c>
      <c r="O476" s="156">
        <v>0.09</v>
      </c>
      <c r="P476" s="156">
        <v>0.14000000000000001</v>
      </c>
      <c r="Q476" s="156">
        <v>0</v>
      </c>
      <c r="R476" s="156">
        <v>0</v>
      </c>
      <c r="S476" s="156">
        <v>0</v>
      </c>
      <c r="T476" s="156">
        <v>0</v>
      </c>
      <c r="U476" s="156">
        <v>0</v>
      </c>
      <c r="V476" s="156">
        <v>0</v>
      </c>
      <c r="W476" s="156">
        <v>0</v>
      </c>
      <c r="X476" s="156">
        <v>0</v>
      </c>
      <c r="Y476" s="156">
        <v>0.13</v>
      </c>
      <c r="Z476" s="156">
        <v>0</v>
      </c>
      <c r="AA476" s="156">
        <v>0</v>
      </c>
      <c r="AB476" s="156">
        <v>0</v>
      </c>
      <c r="AC476" s="156">
        <v>0</v>
      </c>
      <c r="AD476" s="156">
        <v>0</v>
      </c>
      <c r="AE476" s="156">
        <v>0</v>
      </c>
      <c r="AF476" s="156">
        <v>0</v>
      </c>
      <c r="AG476" s="156">
        <v>0</v>
      </c>
      <c r="AH476" s="156">
        <v>0</v>
      </c>
      <c r="AI476" s="156">
        <v>0</v>
      </c>
      <c r="AJ476" s="156">
        <v>0</v>
      </c>
      <c r="AK476" s="156">
        <v>0</v>
      </c>
      <c r="AL476" s="156">
        <v>0.83</v>
      </c>
      <c r="AM476" s="156">
        <v>-1.74</v>
      </c>
      <c r="AN476" s="156">
        <v>0</v>
      </c>
      <c r="AO476" s="156">
        <v>0</v>
      </c>
      <c r="AP476" s="156">
        <v>0</v>
      </c>
      <c r="AQ476" s="156">
        <v>0</v>
      </c>
      <c r="AR476" s="156">
        <v>0</v>
      </c>
      <c r="AS476" s="156">
        <v>0</v>
      </c>
      <c r="AT476" s="156">
        <f t="shared" ref="AT476:AT481" si="84">H476+I476+N476+O476+P476+Q476+T476+X476+Y476+Z476+AA476+AB476+AM476+AO476</f>
        <v>8.6300000000000008</v>
      </c>
    </row>
    <row r="477" spans="1:46" ht="11.25" hidden="1" outlineLevel="3">
      <c r="A477" s="155" t="s">
        <v>145</v>
      </c>
      <c r="B477" s="155" t="s">
        <v>146</v>
      </c>
      <c r="C477" s="155" t="s">
        <v>135</v>
      </c>
      <c r="D477" s="156" t="s">
        <v>144</v>
      </c>
      <c r="E477" s="156" t="s">
        <v>136</v>
      </c>
      <c r="F477" s="157">
        <v>0</v>
      </c>
      <c r="G477" s="157">
        <v>157</v>
      </c>
      <c r="H477" s="156">
        <v>39.520000000000003</v>
      </c>
      <c r="I477" s="156">
        <v>0</v>
      </c>
      <c r="J477" s="156">
        <v>0</v>
      </c>
      <c r="K477" s="156">
        <v>0</v>
      </c>
      <c r="L477" s="156">
        <v>0</v>
      </c>
      <c r="M477" s="156">
        <v>4.58</v>
      </c>
      <c r="N477" s="156">
        <f t="shared" si="83"/>
        <v>4.58</v>
      </c>
      <c r="O477" s="156">
        <v>0</v>
      </c>
      <c r="P477" s="156">
        <v>0</v>
      </c>
      <c r="Q477" s="156">
        <v>0.21</v>
      </c>
      <c r="R477" s="156">
        <v>0</v>
      </c>
      <c r="S477" s="156">
        <v>0</v>
      </c>
      <c r="T477" s="156">
        <v>0</v>
      </c>
      <c r="U477" s="156">
        <v>0</v>
      </c>
      <c r="V477" s="156">
        <v>0</v>
      </c>
      <c r="W477" s="156">
        <v>0</v>
      </c>
      <c r="X477" s="156">
        <v>0</v>
      </c>
      <c r="Y477" s="156">
        <v>0</v>
      </c>
      <c r="Z477" s="156">
        <v>0</v>
      </c>
      <c r="AA477" s="156">
        <v>0</v>
      </c>
      <c r="AB477" s="156">
        <v>0</v>
      </c>
      <c r="AC477" s="156">
        <v>0</v>
      </c>
      <c r="AD477" s="156">
        <v>0</v>
      </c>
      <c r="AE477" s="156">
        <v>0</v>
      </c>
      <c r="AF477" s="156">
        <v>0</v>
      </c>
      <c r="AG477" s="156">
        <v>0</v>
      </c>
      <c r="AH477" s="156">
        <v>0</v>
      </c>
      <c r="AI477" s="156">
        <v>0</v>
      </c>
      <c r="AJ477" s="156">
        <v>0</v>
      </c>
      <c r="AK477" s="156">
        <v>0</v>
      </c>
      <c r="AL477" s="156">
        <v>0</v>
      </c>
      <c r="AM477" s="156">
        <v>0</v>
      </c>
      <c r="AN477" s="156">
        <v>0</v>
      </c>
      <c r="AO477" s="156">
        <v>0.31</v>
      </c>
      <c r="AP477" s="156">
        <v>0</v>
      </c>
      <c r="AQ477" s="156">
        <v>0</v>
      </c>
      <c r="AR477" s="156">
        <v>0</v>
      </c>
      <c r="AS477" s="156">
        <v>0</v>
      </c>
      <c r="AT477" s="156">
        <f t="shared" si="84"/>
        <v>44.620000000000005</v>
      </c>
    </row>
    <row r="478" spans="1:46" ht="11.25" hidden="1" outlineLevel="3">
      <c r="A478" s="155" t="s">
        <v>152</v>
      </c>
      <c r="B478" s="155" t="s">
        <v>153</v>
      </c>
      <c r="C478" s="155" t="s">
        <v>135</v>
      </c>
      <c r="D478" s="156" t="s">
        <v>144</v>
      </c>
      <c r="E478" s="156" t="s">
        <v>136</v>
      </c>
      <c r="F478" s="157">
        <v>0</v>
      </c>
      <c r="G478" s="157">
        <v>58</v>
      </c>
      <c r="H478" s="156">
        <v>21.22</v>
      </c>
      <c r="I478" s="156">
        <v>0</v>
      </c>
      <c r="J478" s="156">
        <v>0</v>
      </c>
      <c r="K478" s="156">
        <v>0.13</v>
      </c>
      <c r="L478" s="156">
        <v>0</v>
      </c>
      <c r="M478" s="156">
        <v>0</v>
      </c>
      <c r="N478" s="156">
        <f t="shared" si="83"/>
        <v>0.13</v>
      </c>
      <c r="O478" s="156">
        <v>0</v>
      </c>
      <c r="P478" s="156">
        <v>0</v>
      </c>
      <c r="Q478" s="156">
        <v>0</v>
      </c>
      <c r="R478" s="156">
        <v>0</v>
      </c>
      <c r="S478" s="156">
        <v>0</v>
      </c>
      <c r="T478" s="156">
        <v>0</v>
      </c>
      <c r="U478" s="156">
        <v>0</v>
      </c>
      <c r="V478" s="156">
        <v>0</v>
      </c>
      <c r="W478" s="156">
        <v>0</v>
      </c>
      <c r="X478" s="156">
        <v>0</v>
      </c>
      <c r="Y478" s="156">
        <v>0</v>
      </c>
      <c r="Z478" s="156">
        <v>0</v>
      </c>
      <c r="AA478" s="156">
        <v>0</v>
      </c>
      <c r="AB478" s="156">
        <v>0</v>
      </c>
      <c r="AC478" s="156">
        <v>0</v>
      </c>
      <c r="AD478" s="156">
        <v>0</v>
      </c>
      <c r="AE478" s="156">
        <v>0</v>
      </c>
      <c r="AF478" s="156">
        <v>0</v>
      </c>
      <c r="AG478" s="156">
        <v>0</v>
      </c>
      <c r="AH478" s="156">
        <v>0</v>
      </c>
      <c r="AI478" s="156">
        <v>0</v>
      </c>
      <c r="AJ478" s="156">
        <v>0</v>
      </c>
      <c r="AK478" s="156">
        <v>0</v>
      </c>
      <c r="AL478" s="156">
        <v>0</v>
      </c>
      <c r="AM478" s="156">
        <v>-0.64</v>
      </c>
      <c r="AN478" s="156">
        <v>0</v>
      </c>
      <c r="AO478" s="156">
        <v>0</v>
      </c>
      <c r="AP478" s="156">
        <v>0</v>
      </c>
      <c r="AQ478" s="156">
        <v>0</v>
      </c>
      <c r="AR478" s="156">
        <v>0</v>
      </c>
      <c r="AS478" s="156">
        <v>0</v>
      </c>
      <c r="AT478" s="156">
        <f t="shared" si="84"/>
        <v>20.709999999999997</v>
      </c>
    </row>
    <row r="479" spans="1:46" ht="11.25" hidden="1" outlineLevel="3">
      <c r="A479" s="155" t="s">
        <v>152</v>
      </c>
      <c r="B479" s="155" t="s">
        <v>157</v>
      </c>
      <c r="C479" s="155" t="s">
        <v>135</v>
      </c>
      <c r="D479" s="156" t="s">
        <v>144</v>
      </c>
      <c r="E479" s="156" t="s">
        <v>136</v>
      </c>
      <c r="F479" s="157">
        <v>0</v>
      </c>
      <c r="G479" s="157">
        <v>540</v>
      </c>
      <c r="H479" s="156">
        <v>185.16</v>
      </c>
      <c r="I479" s="156">
        <v>0</v>
      </c>
      <c r="J479" s="156">
        <v>0</v>
      </c>
      <c r="K479" s="156">
        <v>0.5</v>
      </c>
      <c r="L479" s="156">
        <v>0</v>
      </c>
      <c r="M479" s="156">
        <v>0</v>
      </c>
      <c r="N479" s="156">
        <f t="shared" si="83"/>
        <v>0.5</v>
      </c>
      <c r="O479" s="156">
        <v>0</v>
      </c>
      <c r="P479" s="156">
        <v>0</v>
      </c>
      <c r="Q479" s="156">
        <v>0</v>
      </c>
      <c r="R479" s="156">
        <v>0</v>
      </c>
      <c r="S479" s="156">
        <v>0</v>
      </c>
      <c r="T479" s="156">
        <v>0</v>
      </c>
      <c r="U479" s="156">
        <v>0</v>
      </c>
      <c r="V479" s="156">
        <v>0</v>
      </c>
      <c r="W479" s="156">
        <v>0</v>
      </c>
      <c r="X479" s="156">
        <v>0</v>
      </c>
      <c r="Y479" s="156">
        <v>0</v>
      </c>
      <c r="Z479" s="156">
        <v>0</v>
      </c>
      <c r="AA479" s="156">
        <v>0</v>
      </c>
      <c r="AB479" s="156">
        <v>0</v>
      </c>
      <c r="AC479" s="156">
        <v>0</v>
      </c>
      <c r="AD479" s="156">
        <v>0</v>
      </c>
      <c r="AE479" s="156">
        <v>0</v>
      </c>
      <c r="AF479" s="156">
        <v>0</v>
      </c>
      <c r="AG479" s="156">
        <v>0</v>
      </c>
      <c r="AH479" s="156">
        <v>0</v>
      </c>
      <c r="AI479" s="156">
        <v>0</v>
      </c>
      <c r="AJ479" s="156">
        <v>0</v>
      </c>
      <c r="AK479" s="156">
        <v>0</v>
      </c>
      <c r="AL479" s="156">
        <v>0</v>
      </c>
      <c r="AM479" s="156">
        <v>-5.93</v>
      </c>
      <c r="AN479" s="156">
        <v>0</v>
      </c>
      <c r="AO479" s="156">
        <v>0</v>
      </c>
      <c r="AP479" s="156">
        <v>0</v>
      </c>
      <c r="AQ479" s="156">
        <v>0</v>
      </c>
      <c r="AR479" s="156">
        <v>0</v>
      </c>
      <c r="AS479" s="156">
        <v>0</v>
      </c>
      <c r="AT479" s="156">
        <f t="shared" si="84"/>
        <v>179.73</v>
      </c>
    </row>
    <row r="480" spans="1:46" ht="11.25" hidden="1" outlineLevel="3">
      <c r="A480" s="155" t="s">
        <v>152</v>
      </c>
      <c r="B480" s="155" t="s">
        <v>137</v>
      </c>
      <c r="C480" s="155" t="s">
        <v>135</v>
      </c>
      <c r="D480" s="156" t="s">
        <v>144</v>
      </c>
      <c r="E480" s="156" t="s">
        <v>136</v>
      </c>
      <c r="F480" s="157">
        <v>0</v>
      </c>
      <c r="G480" s="157">
        <v>424</v>
      </c>
      <c r="H480" s="156">
        <v>146.83000000000001</v>
      </c>
      <c r="I480" s="156">
        <v>0</v>
      </c>
      <c r="J480" s="156">
        <v>0</v>
      </c>
      <c r="K480" s="156">
        <v>-0.32</v>
      </c>
      <c r="L480" s="156">
        <v>0</v>
      </c>
      <c r="M480" s="156">
        <v>0</v>
      </c>
      <c r="N480" s="156">
        <f t="shared" si="83"/>
        <v>-0.32</v>
      </c>
      <c r="O480" s="156">
        <v>0</v>
      </c>
      <c r="P480" s="156">
        <v>0</v>
      </c>
      <c r="Q480" s="156">
        <v>0</v>
      </c>
      <c r="R480" s="156">
        <v>0</v>
      </c>
      <c r="S480" s="156">
        <v>0</v>
      </c>
      <c r="T480" s="156">
        <v>0</v>
      </c>
      <c r="U480" s="156">
        <v>0</v>
      </c>
      <c r="V480" s="156">
        <v>0</v>
      </c>
      <c r="W480" s="156">
        <v>0</v>
      </c>
      <c r="X480" s="156">
        <v>0</v>
      </c>
      <c r="Y480" s="156">
        <v>0</v>
      </c>
      <c r="Z480" s="156">
        <v>0</v>
      </c>
      <c r="AA480" s="156">
        <v>0</v>
      </c>
      <c r="AB480" s="156">
        <v>0</v>
      </c>
      <c r="AC480" s="156">
        <v>0</v>
      </c>
      <c r="AD480" s="156">
        <v>0</v>
      </c>
      <c r="AE480" s="156">
        <v>0</v>
      </c>
      <c r="AF480" s="156">
        <v>0</v>
      </c>
      <c r="AG480" s="156">
        <v>0</v>
      </c>
      <c r="AH480" s="156">
        <v>0</v>
      </c>
      <c r="AI480" s="156">
        <v>0</v>
      </c>
      <c r="AJ480" s="156">
        <v>0</v>
      </c>
      <c r="AK480" s="156">
        <v>0</v>
      </c>
      <c r="AL480" s="156">
        <v>0</v>
      </c>
      <c r="AM480" s="156">
        <v>-4.66</v>
      </c>
      <c r="AN480" s="156">
        <v>0</v>
      </c>
      <c r="AO480" s="156">
        <v>0</v>
      </c>
      <c r="AP480" s="156">
        <v>0</v>
      </c>
      <c r="AQ480" s="156">
        <v>0</v>
      </c>
      <c r="AR480" s="156">
        <v>0</v>
      </c>
      <c r="AS480" s="156">
        <v>0</v>
      </c>
      <c r="AT480" s="156">
        <f t="shared" si="84"/>
        <v>141.85000000000002</v>
      </c>
    </row>
    <row r="481" spans="1:46" ht="11.25" hidden="1" outlineLevel="3">
      <c r="A481" s="155" t="s">
        <v>152</v>
      </c>
      <c r="B481" s="155" t="s">
        <v>159</v>
      </c>
      <c r="C481" s="155" t="s">
        <v>135</v>
      </c>
      <c r="D481" s="156" t="s">
        <v>144</v>
      </c>
      <c r="E481" s="156" t="s">
        <v>136</v>
      </c>
      <c r="F481" s="157">
        <v>0</v>
      </c>
      <c r="G481" s="157">
        <v>31</v>
      </c>
      <c r="H481" s="156">
        <v>14.58</v>
      </c>
      <c r="I481" s="156">
        <v>0</v>
      </c>
      <c r="J481" s="156">
        <v>0</v>
      </c>
      <c r="K481" s="156">
        <v>0.05</v>
      </c>
      <c r="L481" s="156">
        <v>0</v>
      </c>
      <c r="M481" s="156">
        <v>0</v>
      </c>
      <c r="N481" s="156">
        <f t="shared" si="83"/>
        <v>0.05</v>
      </c>
      <c r="O481" s="156">
        <v>0</v>
      </c>
      <c r="P481" s="156">
        <v>0</v>
      </c>
      <c r="Q481" s="156">
        <v>0</v>
      </c>
      <c r="R481" s="156">
        <v>0</v>
      </c>
      <c r="S481" s="156">
        <v>0</v>
      </c>
      <c r="T481" s="156">
        <v>0</v>
      </c>
      <c r="U481" s="156">
        <v>0</v>
      </c>
      <c r="V481" s="156">
        <v>0</v>
      </c>
      <c r="W481" s="156">
        <v>0</v>
      </c>
      <c r="X481" s="156">
        <v>0</v>
      </c>
      <c r="Y481" s="156">
        <v>0</v>
      </c>
      <c r="Z481" s="156">
        <v>0</v>
      </c>
      <c r="AA481" s="156">
        <v>0</v>
      </c>
      <c r="AB481" s="156">
        <v>0</v>
      </c>
      <c r="AC481" s="156">
        <v>0</v>
      </c>
      <c r="AD481" s="156">
        <v>0</v>
      </c>
      <c r="AE481" s="156">
        <v>0</v>
      </c>
      <c r="AF481" s="156">
        <v>0</v>
      </c>
      <c r="AG481" s="156">
        <v>0</v>
      </c>
      <c r="AH481" s="156">
        <v>0</v>
      </c>
      <c r="AI481" s="156">
        <v>0</v>
      </c>
      <c r="AJ481" s="156">
        <v>0</v>
      </c>
      <c r="AK481" s="156">
        <v>0</v>
      </c>
      <c r="AL481" s="156">
        <v>0</v>
      </c>
      <c r="AM481" s="156">
        <v>-0.34</v>
      </c>
      <c r="AN481" s="156">
        <v>0</v>
      </c>
      <c r="AO481" s="156">
        <v>0</v>
      </c>
      <c r="AP481" s="156">
        <v>0</v>
      </c>
      <c r="AQ481" s="156">
        <v>0</v>
      </c>
      <c r="AR481" s="156">
        <v>0</v>
      </c>
      <c r="AS481" s="156">
        <v>0</v>
      </c>
      <c r="AT481" s="156">
        <f t="shared" si="84"/>
        <v>14.290000000000001</v>
      </c>
    </row>
    <row r="482" spans="1:46" ht="11.25" outlineLevel="2" collapsed="1">
      <c r="D482" s="156"/>
      <c r="E482" s="156" t="s">
        <v>213</v>
      </c>
      <c r="F482" s="157">
        <v>0</v>
      </c>
      <c r="G482" s="157">
        <f t="shared" ref="G482:AT482" si="85">SUBTOTAL(9,G476:G481)</f>
        <v>1275</v>
      </c>
      <c r="H482" s="156">
        <f t="shared" si="85"/>
        <v>415.42</v>
      </c>
      <c r="I482" s="156">
        <f t="shared" si="85"/>
        <v>0</v>
      </c>
      <c r="J482" s="156">
        <f t="shared" si="85"/>
        <v>0</v>
      </c>
      <c r="K482" s="156">
        <f t="shared" si="85"/>
        <v>0.36</v>
      </c>
      <c r="L482" s="156">
        <f t="shared" si="85"/>
        <v>1.9</v>
      </c>
      <c r="M482" s="156">
        <f t="shared" si="85"/>
        <v>4.58</v>
      </c>
      <c r="N482" s="156">
        <f t="shared" si="85"/>
        <v>6.84</v>
      </c>
      <c r="O482" s="156">
        <f t="shared" si="85"/>
        <v>0.09</v>
      </c>
      <c r="P482" s="156">
        <f t="shared" si="85"/>
        <v>0.14000000000000001</v>
      </c>
      <c r="Q482" s="156">
        <f t="shared" si="85"/>
        <v>0.21</v>
      </c>
      <c r="R482" s="156">
        <f t="shared" si="85"/>
        <v>0</v>
      </c>
      <c r="S482" s="156">
        <f t="shared" si="85"/>
        <v>0</v>
      </c>
      <c r="T482" s="156">
        <f t="shared" si="85"/>
        <v>0</v>
      </c>
      <c r="U482" s="156">
        <f t="shared" si="85"/>
        <v>0</v>
      </c>
      <c r="V482" s="156">
        <f t="shared" si="85"/>
        <v>0</v>
      </c>
      <c r="W482" s="156">
        <f t="shared" si="85"/>
        <v>0</v>
      </c>
      <c r="X482" s="156">
        <f t="shared" si="85"/>
        <v>0</v>
      </c>
      <c r="Y482" s="156">
        <f t="shared" si="85"/>
        <v>0.13</v>
      </c>
      <c r="Z482" s="156">
        <f t="shared" si="85"/>
        <v>0</v>
      </c>
      <c r="AA482" s="156">
        <f t="shared" si="85"/>
        <v>0</v>
      </c>
      <c r="AB482" s="156">
        <f t="shared" si="85"/>
        <v>0</v>
      </c>
      <c r="AC482" s="156">
        <f t="shared" si="85"/>
        <v>0</v>
      </c>
      <c r="AD482" s="156">
        <f t="shared" si="85"/>
        <v>0</v>
      </c>
      <c r="AE482" s="156">
        <f t="shared" si="85"/>
        <v>0</v>
      </c>
      <c r="AF482" s="156">
        <f t="shared" si="85"/>
        <v>0</v>
      </c>
      <c r="AG482" s="156">
        <f t="shared" si="85"/>
        <v>0</v>
      </c>
      <c r="AH482" s="156">
        <f t="shared" si="85"/>
        <v>0</v>
      </c>
      <c r="AI482" s="156">
        <f t="shared" si="85"/>
        <v>0</v>
      </c>
      <c r="AJ482" s="156">
        <f t="shared" si="85"/>
        <v>0</v>
      </c>
      <c r="AK482" s="156">
        <f t="shared" si="85"/>
        <v>0</v>
      </c>
      <c r="AL482" s="156">
        <f t="shared" si="85"/>
        <v>0.83</v>
      </c>
      <c r="AM482" s="156">
        <f t="shared" si="85"/>
        <v>-13.309999999999999</v>
      </c>
      <c r="AN482" s="156">
        <f t="shared" si="85"/>
        <v>0</v>
      </c>
      <c r="AO482" s="156">
        <f t="shared" si="85"/>
        <v>0.31</v>
      </c>
      <c r="AP482" s="156">
        <f t="shared" si="85"/>
        <v>0</v>
      </c>
      <c r="AQ482" s="156">
        <f t="shared" si="85"/>
        <v>0</v>
      </c>
      <c r="AR482" s="156">
        <f t="shared" si="85"/>
        <v>0</v>
      </c>
      <c r="AS482" s="156">
        <f t="shared" si="85"/>
        <v>0</v>
      </c>
      <c r="AT482" s="156">
        <f t="shared" si="85"/>
        <v>409.83000000000004</v>
      </c>
    </row>
    <row r="483" spans="1:46" ht="11.25" hidden="1" outlineLevel="3">
      <c r="A483" s="155" t="s">
        <v>145</v>
      </c>
      <c r="B483" s="155" t="s">
        <v>146</v>
      </c>
      <c r="C483" s="155" t="s">
        <v>133</v>
      </c>
      <c r="D483" s="156" t="s">
        <v>144</v>
      </c>
      <c r="E483" s="156" t="s">
        <v>150</v>
      </c>
      <c r="F483" s="157">
        <v>0</v>
      </c>
      <c r="G483" s="157">
        <v>1440</v>
      </c>
      <c r="H483" s="156">
        <v>127.5</v>
      </c>
      <c r="I483" s="156">
        <v>0</v>
      </c>
      <c r="J483" s="156">
        <v>0</v>
      </c>
      <c r="K483" s="156">
        <v>0</v>
      </c>
      <c r="L483" s="156">
        <v>0</v>
      </c>
      <c r="M483" s="156">
        <v>42.05</v>
      </c>
      <c r="N483" s="156">
        <f t="shared" ref="N483:N491" si="86">J483+K483+L483+M483</f>
        <v>42.05</v>
      </c>
      <c r="O483" s="156">
        <v>0</v>
      </c>
      <c r="P483" s="156">
        <v>0</v>
      </c>
      <c r="Q483" s="156">
        <v>1.9</v>
      </c>
      <c r="R483" s="156">
        <v>0</v>
      </c>
      <c r="S483" s="156">
        <v>0</v>
      </c>
      <c r="T483" s="156">
        <v>0</v>
      </c>
      <c r="U483" s="156">
        <v>0</v>
      </c>
      <c r="V483" s="156">
        <v>0</v>
      </c>
      <c r="W483" s="156">
        <v>0</v>
      </c>
      <c r="X483" s="156">
        <v>0</v>
      </c>
      <c r="Y483" s="156">
        <v>0</v>
      </c>
      <c r="Z483" s="156">
        <v>0</v>
      </c>
      <c r="AA483" s="156">
        <v>0</v>
      </c>
      <c r="AB483" s="156">
        <v>0</v>
      </c>
      <c r="AC483" s="156">
        <v>0</v>
      </c>
      <c r="AD483" s="156">
        <v>0</v>
      </c>
      <c r="AE483" s="156">
        <v>0</v>
      </c>
      <c r="AF483" s="156">
        <v>0</v>
      </c>
      <c r="AG483" s="156">
        <v>0</v>
      </c>
      <c r="AH483" s="156">
        <v>0</v>
      </c>
      <c r="AI483" s="156">
        <v>0</v>
      </c>
      <c r="AJ483" s="156">
        <v>0</v>
      </c>
      <c r="AK483" s="156">
        <v>0</v>
      </c>
      <c r="AL483" s="156">
        <v>0</v>
      </c>
      <c r="AM483" s="156">
        <v>0</v>
      </c>
      <c r="AN483" s="156">
        <v>0</v>
      </c>
      <c r="AO483" s="156">
        <v>17.600000000000001</v>
      </c>
      <c r="AP483" s="156">
        <v>0</v>
      </c>
      <c r="AQ483" s="156">
        <v>0</v>
      </c>
      <c r="AR483" s="156">
        <v>0</v>
      </c>
      <c r="AS483" s="156">
        <v>0</v>
      </c>
      <c r="AT483" s="156">
        <f t="shared" ref="AT483:AT491" si="87">H483+I483+N483+O483+P483+Q483+T483+X483+Y483+Z483+AA483+AB483+AM483+AO483</f>
        <v>189.05</v>
      </c>
    </row>
    <row r="484" spans="1:46" ht="11.25" hidden="1" outlineLevel="3">
      <c r="A484" s="155" t="s">
        <v>145</v>
      </c>
      <c r="B484" s="155" t="s">
        <v>147</v>
      </c>
      <c r="C484" s="155" t="s">
        <v>133</v>
      </c>
      <c r="D484" s="156" t="s">
        <v>144</v>
      </c>
      <c r="E484" s="156" t="s">
        <v>150</v>
      </c>
      <c r="F484" s="157">
        <v>0</v>
      </c>
      <c r="G484" s="157">
        <v>17480</v>
      </c>
      <c r="H484" s="156">
        <v>1271.5999999999999</v>
      </c>
      <c r="I484" s="156">
        <v>0</v>
      </c>
      <c r="J484" s="156">
        <v>0</v>
      </c>
      <c r="K484" s="156">
        <v>0</v>
      </c>
      <c r="L484" s="156">
        <v>0</v>
      </c>
      <c r="M484" s="156">
        <v>510.42</v>
      </c>
      <c r="N484" s="156">
        <f t="shared" si="86"/>
        <v>510.42</v>
      </c>
      <c r="O484" s="156">
        <v>0</v>
      </c>
      <c r="P484" s="156">
        <v>0</v>
      </c>
      <c r="Q484" s="156">
        <v>23.07</v>
      </c>
      <c r="R484" s="156">
        <v>0</v>
      </c>
      <c r="S484" s="156">
        <v>0</v>
      </c>
      <c r="T484" s="156">
        <v>0</v>
      </c>
      <c r="U484" s="156">
        <v>0</v>
      </c>
      <c r="V484" s="156">
        <v>0</v>
      </c>
      <c r="W484" s="156">
        <v>0</v>
      </c>
      <c r="X484" s="156">
        <v>0</v>
      </c>
      <c r="Y484" s="156">
        <v>0</v>
      </c>
      <c r="Z484" s="156">
        <v>0</v>
      </c>
      <c r="AA484" s="156">
        <v>0</v>
      </c>
      <c r="AB484" s="156">
        <v>0</v>
      </c>
      <c r="AC484" s="156">
        <v>0</v>
      </c>
      <c r="AD484" s="156">
        <v>0</v>
      </c>
      <c r="AE484" s="156">
        <v>0</v>
      </c>
      <c r="AF484" s="156">
        <v>0</v>
      </c>
      <c r="AG484" s="156">
        <v>0</v>
      </c>
      <c r="AH484" s="156">
        <v>0</v>
      </c>
      <c r="AI484" s="156">
        <v>0</v>
      </c>
      <c r="AJ484" s="156">
        <v>0</v>
      </c>
      <c r="AK484" s="156">
        <v>0</v>
      </c>
      <c r="AL484" s="156">
        <v>0</v>
      </c>
      <c r="AM484" s="156">
        <v>0</v>
      </c>
      <c r="AN484" s="156">
        <v>0</v>
      </c>
      <c r="AO484" s="156">
        <v>213.61</v>
      </c>
      <c r="AP484" s="156">
        <v>0</v>
      </c>
      <c r="AQ484" s="156">
        <v>0</v>
      </c>
      <c r="AR484" s="156">
        <v>0</v>
      </c>
      <c r="AS484" s="156">
        <v>0</v>
      </c>
      <c r="AT484" s="156">
        <f t="shared" si="87"/>
        <v>2018.6999999999998</v>
      </c>
    </row>
    <row r="485" spans="1:46" ht="11.25" hidden="1" outlineLevel="3">
      <c r="A485" s="155" t="s">
        <v>152</v>
      </c>
      <c r="B485" s="155" t="s">
        <v>153</v>
      </c>
      <c r="C485" s="155" t="s">
        <v>133</v>
      </c>
      <c r="D485" s="156" t="s">
        <v>144</v>
      </c>
      <c r="E485" s="156" t="s">
        <v>150</v>
      </c>
      <c r="F485" s="157">
        <v>0</v>
      </c>
      <c r="G485" s="157">
        <v>4690</v>
      </c>
      <c r="H485" s="156">
        <v>541.94000000000005</v>
      </c>
      <c r="I485" s="156">
        <v>0</v>
      </c>
      <c r="J485" s="156">
        <v>0</v>
      </c>
      <c r="K485" s="156">
        <v>5.64</v>
      </c>
      <c r="L485" s="156">
        <v>0</v>
      </c>
      <c r="M485" s="156">
        <v>0</v>
      </c>
      <c r="N485" s="156">
        <f t="shared" si="86"/>
        <v>5.64</v>
      </c>
      <c r="O485" s="156">
        <v>0</v>
      </c>
      <c r="P485" s="156">
        <v>0</v>
      </c>
      <c r="Q485" s="156">
        <v>0</v>
      </c>
      <c r="R485" s="156">
        <v>0</v>
      </c>
      <c r="S485" s="156">
        <v>0</v>
      </c>
      <c r="T485" s="156">
        <v>0</v>
      </c>
      <c r="U485" s="156">
        <v>0</v>
      </c>
      <c r="V485" s="156">
        <v>0</v>
      </c>
      <c r="W485" s="156">
        <v>0</v>
      </c>
      <c r="X485" s="156">
        <v>0</v>
      </c>
      <c r="Y485" s="156">
        <v>0</v>
      </c>
      <c r="Z485" s="156">
        <v>3.33</v>
      </c>
      <c r="AA485" s="156">
        <v>0</v>
      </c>
      <c r="AB485" s="156">
        <v>0</v>
      </c>
      <c r="AC485" s="156">
        <v>0</v>
      </c>
      <c r="AD485" s="156">
        <v>0</v>
      </c>
      <c r="AE485" s="156">
        <v>0</v>
      </c>
      <c r="AF485" s="156">
        <v>0</v>
      </c>
      <c r="AG485" s="156">
        <v>0</v>
      </c>
      <c r="AH485" s="156">
        <v>0</v>
      </c>
      <c r="AI485" s="156">
        <v>0</v>
      </c>
      <c r="AJ485" s="156">
        <v>0</v>
      </c>
      <c r="AK485" s="156">
        <v>0</v>
      </c>
      <c r="AL485" s="156">
        <v>0</v>
      </c>
      <c r="AM485" s="156">
        <v>-22.28</v>
      </c>
      <c r="AN485" s="156">
        <v>0</v>
      </c>
      <c r="AO485" s="156">
        <v>0</v>
      </c>
      <c r="AP485" s="156">
        <v>0</v>
      </c>
      <c r="AQ485" s="156">
        <v>0</v>
      </c>
      <c r="AR485" s="156">
        <v>0</v>
      </c>
      <c r="AS485" s="156">
        <v>0</v>
      </c>
      <c r="AT485" s="156">
        <f t="shared" si="87"/>
        <v>528.63000000000011</v>
      </c>
    </row>
    <row r="486" spans="1:46" ht="11.25" hidden="1" outlineLevel="3">
      <c r="A486" s="155" t="s">
        <v>152</v>
      </c>
      <c r="B486" s="155" t="s">
        <v>154</v>
      </c>
      <c r="C486" s="155" t="s">
        <v>133</v>
      </c>
      <c r="D486" s="156" t="s">
        <v>144</v>
      </c>
      <c r="E486" s="156" t="s">
        <v>150</v>
      </c>
      <c r="F486" s="157">
        <v>0</v>
      </c>
      <c r="G486" s="157">
        <v>28704</v>
      </c>
      <c r="H486" s="156">
        <v>3467.47</v>
      </c>
      <c r="I486" s="156">
        <v>0</v>
      </c>
      <c r="J486" s="156">
        <v>0</v>
      </c>
      <c r="K486" s="156">
        <v>66.959999999999994</v>
      </c>
      <c r="L486" s="156">
        <v>0</v>
      </c>
      <c r="M486" s="156">
        <v>0</v>
      </c>
      <c r="N486" s="156">
        <f t="shared" si="86"/>
        <v>66.959999999999994</v>
      </c>
      <c r="O486" s="156">
        <v>0</v>
      </c>
      <c r="P486" s="156">
        <v>0</v>
      </c>
      <c r="Q486" s="156">
        <v>0</v>
      </c>
      <c r="R486" s="156">
        <v>0</v>
      </c>
      <c r="S486" s="156">
        <v>0</v>
      </c>
      <c r="T486" s="156">
        <v>0</v>
      </c>
      <c r="U486" s="156">
        <v>0</v>
      </c>
      <c r="V486" s="156">
        <v>0</v>
      </c>
      <c r="W486" s="156">
        <v>0</v>
      </c>
      <c r="X486" s="156">
        <v>0</v>
      </c>
      <c r="Y486" s="156">
        <v>0</v>
      </c>
      <c r="Z486" s="156">
        <v>20.36</v>
      </c>
      <c r="AA486" s="156">
        <v>0</v>
      </c>
      <c r="AB486" s="156">
        <v>0</v>
      </c>
      <c r="AC486" s="156">
        <v>0</v>
      </c>
      <c r="AD486" s="156">
        <v>0</v>
      </c>
      <c r="AE486" s="156">
        <v>0</v>
      </c>
      <c r="AF486" s="156">
        <v>0</v>
      </c>
      <c r="AG486" s="156">
        <v>0</v>
      </c>
      <c r="AH486" s="156">
        <v>0</v>
      </c>
      <c r="AI486" s="156">
        <v>0</v>
      </c>
      <c r="AJ486" s="156">
        <v>0</v>
      </c>
      <c r="AK486" s="156">
        <v>0</v>
      </c>
      <c r="AL486" s="156">
        <v>0</v>
      </c>
      <c r="AM486" s="156">
        <v>-136.35</v>
      </c>
      <c r="AN486" s="156">
        <v>0</v>
      </c>
      <c r="AO486" s="156">
        <v>0</v>
      </c>
      <c r="AP486" s="156">
        <v>0</v>
      </c>
      <c r="AQ486" s="156">
        <v>0</v>
      </c>
      <c r="AR486" s="156">
        <v>0</v>
      </c>
      <c r="AS486" s="156">
        <v>0</v>
      </c>
      <c r="AT486" s="156">
        <f t="shared" si="87"/>
        <v>3418.44</v>
      </c>
    </row>
    <row r="487" spans="1:46" ht="11.25" hidden="1" outlineLevel="3">
      <c r="A487" s="155" t="s">
        <v>152</v>
      </c>
      <c r="B487" s="155" t="s">
        <v>155</v>
      </c>
      <c r="C487" s="155" t="s">
        <v>133</v>
      </c>
      <c r="D487" s="156" t="s">
        <v>144</v>
      </c>
      <c r="E487" s="156" t="s">
        <v>150</v>
      </c>
      <c r="F487" s="157">
        <v>0</v>
      </c>
      <c r="G487" s="157">
        <v>44594</v>
      </c>
      <c r="H487" s="156">
        <v>4680.37</v>
      </c>
      <c r="I487" s="156">
        <v>0</v>
      </c>
      <c r="J487" s="156">
        <v>0</v>
      </c>
      <c r="K487" s="156">
        <v>50.09</v>
      </c>
      <c r="L487" s="156">
        <v>0</v>
      </c>
      <c r="M487" s="156">
        <v>0</v>
      </c>
      <c r="N487" s="156">
        <f t="shared" si="86"/>
        <v>50.09</v>
      </c>
      <c r="O487" s="156">
        <v>0</v>
      </c>
      <c r="P487" s="156">
        <v>0</v>
      </c>
      <c r="Q487" s="156">
        <v>0</v>
      </c>
      <c r="R487" s="156">
        <v>0</v>
      </c>
      <c r="S487" s="156">
        <v>0</v>
      </c>
      <c r="T487" s="156">
        <v>0</v>
      </c>
      <c r="U487" s="156">
        <v>0</v>
      </c>
      <c r="V487" s="156">
        <v>0</v>
      </c>
      <c r="W487" s="156">
        <v>0</v>
      </c>
      <c r="X487" s="156">
        <v>0</v>
      </c>
      <c r="Y487" s="156">
        <v>0</v>
      </c>
      <c r="Z487" s="156">
        <v>31.65</v>
      </c>
      <c r="AA487" s="156">
        <v>0</v>
      </c>
      <c r="AB487" s="156">
        <v>0</v>
      </c>
      <c r="AC487" s="156">
        <v>0</v>
      </c>
      <c r="AD487" s="156">
        <v>0</v>
      </c>
      <c r="AE487" s="156">
        <v>0</v>
      </c>
      <c r="AF487" s="156">
        <v>0</v>
      </c>
      <c r="AG487" s="156">
        <v>0</v>
      </c>
      <c r="AH487" s="156">
        <v>0</v>
      </c>
      <c r="AI487" s="156">
        <v>0</v>
      </c>
      <c r="AJ487" s="156">
        <v>0</v>
      </c>
      <c r="AK487" s="156">
        <v>0</v>
      </c>
      <c r="AL487" s="156">
        <v>0</v>
      </c>
      <c r="AM487" s="156">
        <v>-211.81</v>
      </c>
      <c r="AN487" s="156">
        <v>0</v>
      </c>
      <c r="AO487" s="156">
        <v>0</v>
      </c>
      <c r="AP487" s="156">
        <v>0</v>
      </c>
      <c r="AQ487" s="156">
        <v>0</v>
      </c>
      <c r="AR487" s="156">
        <v>0</v>
      </c>
      <c r="AS487" s="156">
        <v>0</v>
      </c>
      <c r="AT487" s="156">
        <f t="shared" si="87"/>
        <v>4550.2999999999993</v>
      </c>
    </row>
    <row r="488" spans="1:46" ht="11.25" hidden="1" outlineLevel="3">
      <c r="A488" s="155" t="s">
        <v>152</v>
      </c>
      <c r="B488" s="155" t="s">
        <v>157</v>
      </c>
      <c r="C488" s="155" t="s">
        <v>133</v>
      </c>
      <c r="D488" s="156" t="s">
        <v>144</v>
      </c>
      <c r="E488" s="156" t="s">
        <v>150</v>
      </c>
      <c r="F488" s="157">
        <v>0</v>
      </c>
      <c r="G488" s="157">
        <v>3695</v>
      </c>
      <c r="H488" s="156">
        <v>500.31</v>
      </c>
      <c r="I488" s="156">
        <v>0</v>
      </c>
      <c r="J488" s="156">
        <v>0</v>
      </c>
      <c r="K488" s="156">
        <v>-0.36</v>
      </c>
      <c r="L488" s="156">
        <v>0</v>
      </c>
      <c r="M488" s="156">
        <v>0</v>
      </c>
      <c r="N488" s="156">
        <f t="shared" si="86"/>
        <v>-0.36</v>
      </c>
      <c r="O488" s="156">
        <v>0</v>
      </c>
      <c r="P488" s="156">
        <v>0</v>
      </c>
      <c r="Q488" s="156">
        <v>0</v>
      </c>
      <c r="R488" s="156">
        <v>0</v>
      </c>
      <c r="S488" s="156">
        <v>0</v>
      </c>
      <c r="T488" s="156">
        <v>0</v>
      </c>
      <c r="U488" s="156">
        <v>0</v>
      </c>
      <c r="V488" s="156">
        <v>0</v>
      </c>
      <c r="W488" s="156">
        <v>0</v>
      </c>
      <c r="X488" s="156">
        <v>0</v>
      </c>
      <c r="Y488" s="156">
        <v>0</v>
      </c>
      <c r="Z488" s="156">
        <v>2.62</v>
      </c>
      <c r="AA488" s="156">
        <v>0</v>
      </c>
      <c r="AB488" s="156">
        <v>0</v>
      </c>
      <c r="AC488" s="156">
        <v>0</v>
      </c>
      <c r="AD488" s="156">
        <v>0</v>
      </c>
      <c r="AE488" s="156">
        <v>0</v>
      </c>
      <c r="AF488" s="156">
        <v>0</v>
      </c>
      <c r="AG488" s="156">
        <v>0</v>
      </c>
      <c r="AH488" s="156">
        <v>0</v>
      </c>
      <c r="AI488" s="156">
        <v>0</v>
      </c>
      <c r="AJ488" s="156">
        <v>0</v>
      </c>
      <c r="AK488" s="156">
        <v>0</v>
      </c>
      <c r="AL488" s="156">
        <v>0</v>
      </c>
      <c r="AM488" s="156">
        <v>-17.55</v>
      </c>
      <c r="AN488" s="156">
        <v>0</v>
      </c>
      <c r="AO488" s="156">
        <v>0</v>
      </c>
      <c r="AP488" s="156">
        <v>0</v>
      </c>
      <c r="AQ488" s="156">
        <v>0</v>
      </c>
      <c r="AR488" s="156">
        <v>0</v>
      </c>
      <c r="AS488" s="156">
        <v>0</v>
      </c>
      <c r="AT488" s="156">
        <f t="shared" si="87"/>
        <v>485.02</v>
      </c>
    </row>
    <row r="489" spans="1:46" ht="11.25" hidden="1" outlineLevel="3">
      <c r="A489" s="155" t="s">
        <v>152</v>
      </c>
      <c r="B489" s="155" t="s">
        <v>137</v>
      </c>
      <c r="C489" s="155" t="s">
        <v>133</v>
      </c>
      <c r="D489" s="156" t="s">
        <v>144</v>
      </c>
      <c r="E489" s="156" t="s">
        <v>150</v>
      </c>
      <c r="F489" s="157">
        <v>0</v>
      </c>
      <c r="G489" s="157">
        <v>11069</v>
      </c>
      <c r="H489" s="156">
        <v>1199.92</v>
      </c>
      <c r="I489" s="156">
        <v>0</v>
      </c>
      <c r="J489" s="156">
        <v>0</v>
      </c>
      <c r="K489" s="156">
        <v>5.89</v>
      </c>
      <c r="L489" s="156">
        <v>0</v>
      </c>
      <c r="M489" s="156">
        <v>0</v>
      </c>
      <c r="N489" s="156">
        <f t="shared" si="86"/>
        <v>5.89</v>
      </c>
      <c r="O489" s="156">
        <v>0</v>
      </c>
      <c r="P489" s="156">
        <v>0</v>
      </c>
      <c r="Q489" s="156">
        <v>0</v>
      </c>
      <c r="R489" s="156">
        <v>0</v>
      </c>
      <c r="S489" s="156">
        <v>0</v>
      </c>
      <c r="T489" s="156">
        <v>0</v>
      </c>
      <c r="U489" s="156">
        <v>0</v>
      </c>
      <c r="V489" s="156">
        <v>0</v>
      </c>
      <c r="W489" s="156">
        <v>0</v>
      </c>
      <c r="X489" s="156">
        <v>0</v>
      </c>
      <c r="Y489" s="156">
        <v>0</v>
      </c>
      <c r="Z489" s="156">
        <v>7.87</v>
      </c>
      <c r="AA489" s="156">
        <v>0</v>
      </c>
      <c r="AB489" s="156">
        <v>0</v>
      </c>
      <c r="AC489" s="156">
        <v>0</v>
      </c>
      <c r="AD489" s="156">
        <v>0</v>
      </c>
      <c r="AE489" s="156">
        <v>0</v>
      </c>
      <c r="AF489" s="156">
        <v>0</v>
      </c>
      <c r="AG489" s="156">
        <v>0</v>
      </c>
      <c r="AH489" s="156">
        <v>0</v>
      </c>
      <c r="AI489" s="156">
        <v>0</v>
      </c>
      <c r="AJ489" s="156">
        <v>0</v>
      </c>
      <c r="AK489" s="156">
        <v>0</v>
      </c>
      <c r="AL489" s="156">
        <v>0</v>
      </c>
      <c r="AM489" s="156">
        <v>-52.58</v>
      </c>
      <c r="AN489" s="156">
        <v>0</v>
      </c>
      <c r="AO489" s="156">
        <v>0</v>
      </c>
      <c r="AP489" s="156">
        <v>0</v>
      </c>
      <c r="AQ489" s="156">
        <v>0</v>
      </c>
      <c r="AR489" s="156">
        <v>0</v>
      </c>
      <c r="AS489" s="156">
        <v>0</v>
      </c>
      <c r="AT489" s="156">
        <f t="shared" si="87"/>
        <v>1161.1000000000001</v>
      </c>
    </row>
    <row r="490" spans="1:46" ht="11.25" hidden="1" outlineLevel="3">
      <c r="A490" s="155" t="s">
        <v>152</v>
      </c>
      <c r="B490" s="155" t="s">
        <v>158</v>
      </c>
      <c r="C490" s="155" t="s">
        <v>133</v>
      </c>
      <c r="D490" s="156" t="s">
        <v>144</v>
      </c>
      <c r="E490" s="156" t="s">
        <v>150</v>
      </c>
      <c r="F490" s="157">
        <v>0</v>
      </c>
      <c r="G490" s="157">
        <v>17314</v>
      </c>
      <c r="H490" s="156">
        <v>1872.36</v>
      </c>
      <c r="I490" s="156">
        <v>0</v>
      </c>
      <c r="J490" s="156">
        <v>0</v>
      </c>
      <c r="K490" s="156">
        <v>2.1</v>
      </c>
      <c r="L490" s="156">
        <v>0</v>
      </c>
      <c r="M490" s="156">
        <v>0</v>
      </c>
      <c r="N490" s="156">
        <f t="shared" si="86"/>
        <v>2.1</v>
      </c>
      <c r="O490" s="156">
        <v>0</v>
      </c>
      <c r="P490" s="156">
        <v>0</v>
      </c>
      <c r="Q490" s="156">
        <v>0</v>
      </c>
      <c r="R490" s="156">
        <v>0</v>
      </c>
      <c r="S490" s="156">
        <v>0</v>
      </c>
      <c r="T490" s="156">
        <v>0</v>
      </c>
      <c r="U490" s="156">
        <v>0</v>
      </c>
      <c r="V490" s="156">
        <v>0</v>
      </c>
      <c r="W490" s="156">
        <v>0</v>
      </c>
      <c r="X490" s="156">
        <v>0</v>
      </c>
      <c r="Y490" s="156">
        <v>0</v>
      </c>
      <c r="Z490" s="156">
        <v>12.29</v>
      </c>
      <c r="AA490" s="156">
        <v>0</v>
      </c>
      <c r="AB490" s="156">
        <v>0</v>
      </c>
      <c r="AC490" s="156">
        <v>0</v>
      </c>
      <c r="AD490" s="156">
        <v>0</v>
      </c>
      <c r="AE490" s="156">
        <v>0</v>
      </c>
      <c r="AF490" s="156">
        <v>0</v>
      </c>
      <c r="AG490" s="156">
        <v>0</v>
      </c>
      <c r="AH490" s="156">
        <v>0</v>
      </c>
      <c r="AI490" s="156">
        <v>0</v>
      </c>
      <c r="AJ490" s="156">
        <v>0</v>
      </c>
      <c r="AK490" s="156">
        <v>0</v>
      </c>
      <c r="AL490" s="156">
        <v>0</v>
      </c>
      <c r="AM490" s="156">
        <v>-82.24</v>
      </c>
      <c r="AN490" s="156">
        <v>0</v>
      </c>
      <c r="AO490" s="156">
        <v>0</v>
      </c>
      <c r="AP490" s="156">
        <v>0</v>
      </c>
      <c r="AQ490" s="156">
        <v>0</v>
      </c>
      <c r="AR490" s="156">
        <v>0</v>
      </c>
      <c r="AS490" s="156">
        <v>0</v>
      </c>
      <c r="AT490" s="156">
        <f t="shared" si="87"/>
        <v>1804.5099999999998</v>
      </c>
    </row>
    <row r="491" spans="1:46" ht="11.25" hidden="1" outlineLevel="3">
      <c r="A491" s="155" t="s">
        <v>152</v>
      </c>
      <c r="B491" s="155" t="s">
        <v>160</v>
      </c>
      <c r="C491" s="155" t="s">
        <v>133</v>
      </c>
      <c r="D491" s="156" t="s">
        <v>144</v>
      </c>
      <c r="E491" s="156" t="s">
        <v>150</v>
      </c>
      <c r="F491" s="157">
        <v>0</v>
      </c>
      <c r="G491" s="157">
        <v>16320</v>
      </c>
      <c r="H491" s="156">
        <v>1660.29</v>
      </c>
      <c r="I491" s="156">
        <v>0</v>
      </c>
      <c r="J491" s="156">
        <v>0</v>
      </c>
      <c r="K491" s="156">
        <v>53.21</v>
      </c>
      <c r="L491" s="156">
        <v>0</v>
      </c>
      <c r="M491" s="156">
        <v>0</v>
      </c>
      <c r="N491" s="156">
        <f t="shared" si="86"/>
        <v>53.21</v>
      </c>
      <c r="O491" s="156">
        <v>0</v>
      </c>
      <c r="P491" s="156">
        <v>0</v>
      </c>
      <c r="Q491" s="156">
        <v>0</v>
      </c>
      <c r="R491" s="156">
        <v>0</v>
      </c>
      <c r="S491" s="156">
        <v>0</v>
      </c>
      <c r="T491" s="156">
        <v>0</v>
      </c>
      <c r="U491" s="156">
        <v>0</v>
      </c>
      <c r="V491" s="156">
        <v>0</v>
      </c>
      <c r="W491" s="156">
        <v>0</v>
      </c>
      <c r="X491" s="156">
        <v>0</v>
      </c>
      <c r="Y491" s="156">
        <v>0</v>
      </c>
      <c r="Z491" s="156">
        <v>11.58</v>
      </c>
      <c r="AA491" s="156">
        <v>0</v>
      </c>
      <c r="AB491" s="156">
        <v>0</v>
      </c>
      <c r="AC491" s="156">
        <v>0</v>
      </c>
      <c r="AD491" s="156">
        <v>0</v>
      </c>
      <c r="AE491" s="156">
        <v>0</v>
      </c>
      <c r="AF491" s="156">
        <v>0</v>
      </c>
      <c r="AG491" s="156">
        <v>0</v>
      </c>
      <c r="AH491" s="156">
        <v>0</v>
      </c>
      <c r="AI491" s="156">
        <v>0</v>
      </c>
      <c r="AJ491" s="156">
        <v>0</v>
      </c>
      <c r="AK491" s="156">
        <v>0</v>
      </c>
      <c r="AL491" s="156">
        <v>0</v>
      </c>
      <c r="AM491" s="156">
        <v>-77.52</v>
      </c>
      <c r="AN491" s="156">
        <v>0</v>
      </c>
      <c r="AO491" s="156">
        <v>0</v>
      </c>
      <c r="AP491" s="156">
        <v>0</v>
      </c>
      <c r="AQ491" s="156">
        <v>0</v>
      </c>
      <c r="AR491" s="156">
        <v>0</v>
      </c>
      <c r="AS491" s="156">
        <v>0</v>
      </c>
      <c r="AT491" s="156">
        <f t="shared" si="87"/>
        <v>1647.56</v>
      </c>
    </row>
    <row r="492" spans="1:46" ht="11.25" outlineLevel="2" collapsed="1">
      <c r="D492" s="156"/>
      <c r="E492" s="156" t="s">
        <v>226</v>
      </c>
      <c r="F492" s="157">
        <v>45</v>
      </c>
      <c r="G492" s="157">
        <f t="shared" ref="G492:AT492" si="88">SUBTOTAL(9,G483:G491)</f>
        <v>145306</v>
      </c>
      <c r="H492" s="156">
        <f t="shared" si="88"/>
        <v>15321.760000000002</v>
      </c>
      <c r="I492" s="156">
        <f t="shared" si="88"/>
        <v>0</v>
      </c>
      <c r="J492" s="156">
        <f t="shared" si="88"/>
        <v>0</v>
      </c>
      <c r="K492" s="156">
        <f t="shared" si="88"/>
        <v>183.53</v>
      </c>
      <c r="L492" s="156">
        <f t="shared" si="88"/>
        <v>0</v>
      </c>
      <c r="M492" s="156">
        <f t="shared" si="88"/>
        <v>552.47</v>
      </c>
      <c r="N492" s="156">
        <f t="shared" si="88"/>
        <v>736.00000000000011</v>
      </c>
      <c r="O492" s="156">
        <f t="shared" si="88"/>
        <v>0</v>
      </c>
      <c r="P492" s="156">
        <f t="shared" si="88"/>
        <v>0</v>
      </c>
      <c r="Q492" s="156">
        <f t="shared" si="88"/>
        <v>24.97</v>
      </c>
      <c r="R492" s="156">
        <f t="shared" si="88"/>
        <v>0</v>
      </c>
      <c r="S492" s="156">
        <f t="shared" si="88"/>
        <v>0</v>
      </c>
      <c r="T492" s="156">
        <f t="shared" si="88"/>
        <v>0</v>
      </c>
      <c r="U492" s="156">
        <f t="shared" si="88"/>
        <v>0</v>
      </c>
      <c r="V492" s="156">
        <f t="shared" si="88"/>
        <v>0</v>
      </c>
      <c r="W492" s="156">
        <f t="shared" si="88"/>
        <v>0</v>
      </c>
      <c r="X492" s="156">
        <f t="shared" si="88"/>
        <v>0</v>
      </c>
      <c r="Y492" s="156">
        <f t="shared" si="88"/>
        <v>0</v>
      </c>
      <c r="Z492" s="156">
        <f t="shared" si="88"/>
        <v>89.7</v>
      </c>
      <c r="AA492" s="156">
        <f t="shared" si="88"/>
        <v>0</v>
      </c>
      <c r="AB492" s="156">
        <f t="shared" si="88"/>
        <v>0</v>
      </c>
      <c r="AC492" s="156">
        <f t="shared" si="88"/>
        <v>0</v>
      </c>
      <c r="AD492" s="156">
        <f t="shared" si="88"/>
        <v>0</v>
      </c>
      <c r="AE492" s="156">
        <f t="shared" si="88"/>
        <v>0</v>
      </c>
      <c r="AF492" s="156">
        <f t="shared" si="88"/>
        <v>0</v>
      </c>
      <c r="AG492" s="156">
        <f t="shared" si="88"/>
        <v>0</v>
      </c>
      <c r="AH492" s="156">
        <f t="shared" si="88"/>
        <v>0</v>
      </c>
      <c r="AI492" s="156">
        <f t="shared" si="88"/>
        <v>0</v>
      </c>
      <c r="AJ492" s="156">
        <f t="shared" si="88"/>
        <v>0</v>
      </c>
      <c r="AK492" s="156">
        <f t="shared" si="88"/>
        <v>0</v>
      </c>
      <c r="AL492" s="156">
        <f t="shared" si="88"/>
        <v>0</v>
      </c>
      <c r="AM492" s="156">
        <f t="shared" si="88"/>
        <v>-600.32999999999993</v>
      </c>
      <c r="AN492" s="156">
        <f t="shared" si="88"/>
        <v>0</v>
      </c>
      <c r="AO492" s="156">
        <f t="shared" si="88"/>
        <v>231.21</v>
      </c>
      <c r="AP492" s="156">
        <f t="shared" si="88"/>
        <v>0</v>
      </c>
      <c r="AQ492" s="156">
        <f t="shared" si="88"/>
        <v>0</v>
      </c>
      <c r="AR492" s="156">
        <f t="shared" si="88"/>
        <v>0</v>
      </c>
      <c r="AS492" s="156">
        <f t="shared" si="88"/>
        <v>0</v>
      </c>
      <c r="AT492" s="156">
        <f t="shared" si="88"/>
        <v>15803.31</v>
      </c>
    </row>
    <row r="493" spans="1:46" ht="11.25" hidden="1" outlineLevel="3">
      <c r="A493" s="155" t="s">
        <v>145</v>
      </c>
      <c r="B493" s="155" t="s">
        <v>147</v>
      </c>
      <c r="C493" s="155" t="s">
        <v>133</v>
      </c>
      <c r="D493" s="156" t="s">
        <v>144</v>
      </c>
      <c r="E493" s="156" t="s">
        <v>151</v>
      </c>
      <c r="F493" s="157">
        <v>0</v>
      </c>
      <c r="G493" s="157">
        <v>9840</v>
      </c>
      <c r="H493" s="156">
        <v>843.54</v>
      </c>
      <c r="I493" s="156">
        <v>0</v>
      </c>
      <c r="J493" s="156">
        <v>0</v>
      </c>
      <c r="K493" s="156">
        <v>0</v>
      </c>
      <c r="L493" s="156">
        <v>0</v>
      </c>
      <c r="M493" s="156">
        <v>287.33</v>
      </c>
      <c r="N493" s="156">
        <f t="shared" ref="N493:N501" si="89">J493+K493+L493+M493</f>
        <v>287.33</v>
      </c>
      <c r="O493" s="156">
        <v>0</v>
      </c>
      <c r="P493" s="156">
        <v>0</v>
      </c>
      <c r="Q493" s="156">
        <v>12.99</v>
      </c>
      <c r="R493" s="156">
        <v>0</v>
      </c>
      <c r="S493" s="156">
        <v>0</v>
      </c>
      <c r="T493" s="156">
        <v>0</v>
      </c>
      <c r="U493" s="156">
        <v>0</v>
      </c>
      <c r="V493" s="156">
        <v>0</v>
      </c>
      <c r="W493" s="156">
        <v>0</v>
      </c>
      <c r="X493" s="156">
        <v>0</v>
      </c>
      <c r="Y493" s="156">
        <v>0</v>
      </c>
      <c r="Z493" s="156">
        <v>0</v>
      </c>
      <c r="AA493" s="156">
        <v>0</v>
      </c>
      <c r="AB493" s="156">
        <v>0</v>
      </c>
      <c r="AC493" s="156">
        <v>0</v>
      </c>
      <c r="AD493" s="156">
        <v>0</v>
      </c>
      <c r="AE493" s="156">
        <v>0</v>
      </c>
      <c r="AF493" s="156">
        <v>0</v>
      </c>
      <c r="AG493" s="156">
        <v>0</v>
      </c>
      <c r="AH493" s="156">
        <v>0</v>
      </c>
      <c r="AI493" s="156">
        <v>0</v>
      </c>
      <c r="AJ493" s="156">
        <v>0</v>
      </c>
      <c r="AK493" s="156">
        <v>0</v>
      </c>
      <c r="AL493" s="156">
        <v>0</v>
      </c>
      <c r="AM493" s="156">
        <v>0</v>
      </c>
      <c r="AN493" s="156">
        <v>0</v>
      </c>
      <c r="AO493" s="156">
        <v>101.75</v>
      </c>
      <c r="AP493" s="156">
        <v>0</v>
      </c>
      <c r="AQ493" s="156">
        <v>0</v>
      </c>
      <c r="AR493" s="156">
        <v>0</v>
      </c>
      <c r="AS493" s="156">
        <v>0</v>
      </c>
      <c r="AT493" s="156">
        <f t="shared" ref="AT493:AT501" si="90">H493+I493+N493+O493+P493+Q493+T493+X493+Y493+Z493+AA493+AB493+AM493+AO493</f>
        <v>1245.6099999999999</v>
      </c>
    </row>
    <row r="494" spans="1:46" ht="11.25" hidden="1" outlineLevel="3">
      <c r="A494" s="155" t="s">
        <v>152</v>
      </c>
      <c r="B494" s="155" t="s">
        <v>154</v>
      </c>
      <c r="C494" s="155" t="s">
        <v>133</v>
      </c>
      <c r="D494" s="156" t="s">
        <v>144</v>
      </c>
      <c r="E494" s="156" t="s">
        <v>151</v>
      </c>
      <c r="F494" s="157">
        <v>0</v>
      </c>
      <c r="G494" s="157">
        <v>16080</v>
      </c>
      <c r="H494" s="156">
        <v>1676.43</v>
      </c>
      <c r="I494" s="156">
        <v>0</v>
      </c>
      <c r="J494" s="156">
        <v>0</v>
      </c>
      <c r="K494" s="156">
        <v>26.9</v>
      </c>
      <c r="L494" s="156">
        <v>0</v>
      </c>
      <c r="M494" s="156">
        <v>0</v>
      </c>
      <c r="N494" s="156">
        <f t="shared" si="89"/>
        <v>26.9</v>
      </c>
      <c r="O494" s="156">
        <v>0</v>
      </c>
      <c r="P494" s="156">
        <v>0</v>
      </c>
      <c r="Q494" s="156">
        <v>0</v>
      </c>
      <c r="R494" s="156">
        <v>0</v>
      </c>
      <c r="S494" s="156">
        <v>0</v>
      </c>
      <c r="T494" s="156">
        <v>0</v>
      </c>
      <c r="U494" s="156">
        <v>0</v>
      </c>
      <c r="V494" s="156">
        <v>0</v>
      </c>
      <c r="W494" s="156">
        <v>0</v>
      </c>
      <c r="X494" s="156">
        <v>0</v>
      </c>
      <c r="Y494" s="156">
        <v>0</v>
      </c>
      <c r="Z494" s="156">
        <v>11.42</v>
      </c>
      <c r="AA494" s="156">
        <v>0</v>
      </c>
      <c r="AB494" s="156">
        <v>0</v>
      </c>
      <c r="AC494" s="156">
        <v>0</v>
      </c>
      <c r="AD494" s="156">
        <v>0</v>
      </c>
      <c r="AE494" s="156">
        <v>0</v>
      </c>
      <c r="AF494" s="156">
        <v>0</v>
      </c>
      <c r="AG494" s="156">
        <v>0</v>
      </c>
      <c r="AH494" s="156">
        <v>0</v>
      </c>
      <c r="AI494" s="156">
        <v>0</v>
      </c>
      <c r="AJ494" s="156">
        <v>0</v>
      </c>
      <c r="AK494" s="156">
        <v>0</v>
      </c>
      <c r="AL494" s="156">
        <v>0</v>
      </c>
      <c r="AM494" s="156">
        <v>-65.61</v>
      </c>
      <c r="AN494" s="156">
        <v>0</v>
      </c>
      <c r="AO494" s="156">
        <v>0</v>
      </c>
      <c r="AP494" s="156">
        <v>0</v>
      </c>
      <c r="AQ494" s="156">
        <v>0</v>
      </c>
      <c r="AR494" s="156">
        <v>0</v>
      </c>
      <c r="AS494" s="156">
        <v>0</v>
      </c>
      <c r="AT494" s="156">
        <f t="shared" si="90"/>
        <v>1649.1400000000003</v>
      </c>
    </row>
    <row r="495" spans="1:46" ht="11.25" hidden="1" outlineLevel="3">
      <c r="A495" s="155" t="s">
        <v>152</v>
      </c>
      <c r="B495" s="155" t="s">
        <v>154</v>
      </c>
      <c r="C495" s="155" t="s">
        <v>133</v>
      </c>
      <c r="D495" s="156" t="s">
        <v>144</v>
      </c>
      <c r="E495" s="156" t="s">
        <v>151</v>
      </c>
      <c r="F495" s="157">
        <v>0</v>
      </c>
      <c r="G495" s="157">
        <v>11592</v>
      </c>
      <c r="H495" s="156">
        <v>1139.5899999999999</v>
      </c>
      <c r="I495" s="156">
        <v>0</v>
      </c>
      <c r="J495" s="156">
        <v>0</v>
      </c>
      <c r="K495" s="156">
        <v>35.71</v>
      </c>
      <c r="L495" s="156">
        <v>0</v>
      </c>
      <c r="M495" s="156">
        <v>0</v>
      </c>
      <c r="N495" s="156">
        <f t="shared" si="89"/>
        <v>35.71</v>
      </c>
      <c r="O495" s="156">
        <v>0</v>
      </c>
      <c r="P495" s="156">
        <v>0</v>
      </c>
      <c r="Q495" s="156">
        <v>0</v>
      </c>
      <c r="R495" s="156">
        <v>0</v>
      </c>
      <c r="S495" s="156">
        <v>0</v>
      </c>
      <c r="T495" s="156">
        <v>0</v>
      </c>
      <c r="U495" s="156">
        <v>0</v>
      </c>
      <c r="V495" s="156">
        <v>0</v>
      </c>
      <c r="W495" s="156">
        <v>0</v>
      </c>
      <c r="X495" s="156">
        <v>0</v>
      </c>
      <c r="Y495" s="156">
        <v>0</v>
      </c>
      <c r="Z495" s="156">
        <v>8.23</v>
      </c>
      <c r="AA495" s="156">
        <v>0</v>
      </c>
      <c r="AB495" s="156">
        <v>0</v>
      </c>
      <c r="AC495" s="156">
        <v>0</v>
      </c>
      <c r="AD495" s="156">
        <v>0</v>
      </c>
      <c r="AE495" s="156">
        <v>0</v>
      </c>
      <c r="AF495" s="156">
        <v>0</v>
      </c>
      <c r="AG495" s="156">
        <v>0</v>
      </c>
      <c r="AH495" s="156">
        <v>0</v>
      </c>
      <c r="AI495" s="156">
        <v>0</v>
      </c>
      <c r="AJ495" s="156">
        <v>0</v>
      </c>
      <c r="AK495" s="156">
        <v>0</v>
      </c>
      <c r="AL495" s="156">
        <v>0</v>
      </c>
      <c r="AM495" s="156">
        <v>-47.3</v>
      </c>
      <c r="AN495" s="156">
        <v>0</v>
      </c>
      <c r="AO495" s="156">
        <v>0</v>
      </c>
      <c r="AP495" s="156">
        <v>0</v>
      </c>
      <c r="AQ495" s="156">
        <v>0</v>
      </c>
      <c r="AR495" s="156">
        <v>0</v>
      </c>
      <c r="AS495" s="156">
        <v>0</v>
      </c>
      <c r="AT495" s="156">
        <f t="shared" si="90"/>
        <v>1136.23</v>
      </c>
    </row>
    <row r="496" spans="1:46" ht="11.25" hidden="1" outlineLevel="3">
      <c r="A496" s="155" t="s">
        <v>152</v>
      </c>
      <c r="B496" s="155" t="s">
        <v>155</v>
      </c>
      <c r="C496" s="155" t="s">
        <v>133</v>
      </c>
      <c r="D496" s="156" t="s">
        <v>144</v>
      </c>
      <c r="E496" s="156" t="s">
        <v>151</v>
      </c>
      <c r="F496" s="157">
        <v>0</v>
      </c>
      <c r="G496" s="157">
        <v>440960</v>
      </c>
      <c r="H496" s="156">
        <v>47518.86</v>
      </c>
      <c r="I496" s="156">
        <v>0</v>
      </c>
      <c r="J496" s="156">
        <v>0</v>
      </c>
      <c r="K496" s="156">
        <v>811.95</v>
      </c>
      <c r="L496" s="156">
        <v>0</v>
      </c>
      <c r="M496" s="156">
        <v>0</v>
      </c>
      <c r="N496" s="156">
        <f t="shared" si="89"/>
        <v>811.95</v>
      </c>
      <c r="O496" s="156">
        <v>0</v>
      </c>
      <c r="P496" s="156">
        <v>0</v>
      </c>
      <c r="Q496" s="156">
        <v>0</v>
      </c>
      <c r="R496" s="156">
        <v>0</v>
      </c>
      <c r="S496" s="156">
        <v>0</v>
      </c>
      <c r="T496" s="156">
        <v>0</v>
      </c>
      <c r="U496" s="156">
        <v>0</v>
      </c>
      <c r="V496" s="156">
        <v>0</v>
      </c>
      <c r="W496" s="156">
        <v>0</v>
      </c>
      <c r="X496" s="156">
        <v>0</v>
      </c>
      <c r="Y496" s="156">
        <v>0</v>
      </c>
      <c r="Z496" s="156">
        <v>313.08</v>
      </c>
      <c r="AA496" s="156">
        <v>0</v>
      </c>
      <c r="AB496" s="156">
        <v>0</v>
      </c>
      <c r="AC496" s="156">
        <v>0</v>
      </c>
      <c r="AD496" s="156">
        <v>0</v>
      </c>
      <c r="AE496" s="156">
        <v>0</v>
      </c>
      <c r="AF496" s="156">
        <v>0</v>
      </c>
      <c r="AG496" s="156">
        <v>0</v>
      </c>
      <c r="AH496" s="156">
        <v>0</v>
      </c>
      <c r="AI496" s="156">
        <v>0</v>
      </c>
      <c r="AJ496" s="156">
        <v>0</v>
      </c>
      <c r="AK496" s="156">
        <v>0</v>
      </c>
      <c r="AL496" s="156">
        <v>0</v>
      </c>
      <c r="AM496" s="156">
        <v>-1799.13</v>
      </c>
      <c r="AN496" s="156">
        <v>0</v>
      </c>
      <c r="AO496" s="156">
        <v>0</v>
      </c>
      <c r="AP496" s="156">
        <v>0</v>
      </c>
      <c r="AQ496" s="156">
        <v>0</v>
      </c>
      <c r="AR496" s="156">
        <v>0</v>
      </c>
      <c r="AS496" s="156">
        <v>0</v>
      </c>
      <c r="AT496" s="156">
        <f t="shared" si="90"/>
        <v>46844.76</v>
      </c>
    </row>
    <row r="497" spans="1:46" ht="11.25" hidden="1" outlineLevel="3">
      <c r="A497" s="155" t="s">
        <v>152</v>
      </c>
      <c r="B497" s="155" t="s">
        <v>157</v>
      </c>
      <c r="C497" s="155" t="s">
        <v>133</v>
      </c>
      <c r="D497" s="156" t="s">
        <v>144</v>
      </c>
      <c r="E497" s="156" t="s">
        <v>151</v>
      </c>
      <c r="F497" s="157">
        <v>0</v>
      </c>
      <c r="G497" s="157">
        <v>39440</v>
      </c>
      <c r="H497" s="156">
        <v>4145.67</v>
      </c>
      <c r="I497" s="156">
        <v>0</v>
      </c>
      <c r="J497" s="156">
        <v>0</v>
      </c>
      <c r="K497" s="156">
        <v>119.53</v>
      </c>
      <c r="L497" s="156">
        <v>0</v>
      </c>
      <c r="M497" s="156">
        <v>0</v>
      </c>
      <c r="N497" s="156">
        <f t="shared" si="89"/>
        <v>119.53</v>
      </c>
      <c r="O497" s="156">
        <v>0</v>
      </c>
      <c r="P497" s="156">
        <v>0</v>
      </c>
      <c r="Q497" s="156">
        <v>0</v>
      </c>
      <c r="R497" s="156">
        <v>0</v>
      </c>
      <c r="S497" s="156">
        <v>0</v>
      </c>
      <c r="T497" s="156">
        <v>0</v>
      </c>
      <c r="U497" s="156">
        <v>0</v>
      </c>
      <c r="V497" s="156">
        <v>0</v>
      </c>
      <c r="W497" s="156">
        <v>0</v>
      </c>
      <c r="X497" s="156">
        <v>0</v>
      </c>
      <c r="Y497" s="156">
        <v>0</v>
      </c>
      <c r="Z497" s="156">
        <v>28</v>
      </c>
      <c r="AA497" s="156">
        <v>0</v>
      </c>
      <c r="AB497" s="156">
        <v>0</v>
      </c>
      <c r="AC497" s="156">
        <v>0</v>
      </c>
      <c r="AD497" s="156">
        <v>0</v>
      </c>
      <c r="AE497" s="156">
        <v>0</v>
      </c>
      <c r="AF497" s="156">
        <v>0</v>
      </c>
      <c r="AG497" s="156">
        <v>0</v>
      </c>
      <c r="AH497" s="156">
        <v>0</v>
      </c>
      <c r="AI497" s="156">
        <v>0</v>
      </c>
      <c r="AJ497" s="156">
        <v>0</v>
      </c>
      <c r="AK497" s="156">
        <v>0</v>
      </c>
      <c r="AL497" s="156">
        <v>0</v>
      </c>
      <c r="AM497" s="156">
        <v>-160.91999999999999</v>
      </c>
      <c r="AN497" s="156">
        <v>0</v>
      </c>
      <c r="AO497" s="156">
        <v>0</v>
      </c>
      <c r="AP497" s="156">
        <v>0</v>
      </c>
      <c r="AQ497" s="156">
        <v>0</v>
      </c>
      <c r="AR497" s="156">
        <v>0</v>
      </c>
      <c r="AS497" s="156">
        <v>0</v>
      </c>
      <c r="AT497" s="156">
        <f t="shared" si="90"/>
        <v>4132.28</v>
      </c>
    </row>
    <row r="498" spans="1:46" ht="11.25" hidden="1" outlineLevel="3">
      <c r="A498" s="155" t="s">
        <v>152</v>
      </c>
      <c r="B498" s="155" t="s">
        <v>137</v>
      </c>
      <c r="C498" s="155" t="s">
        <v>133</v>
      </c>
      <c r="D498" s="156" t="s">
        <v>144</v>
      </c>
      <c r="E498" s="156" t="s">
        <v>151</v>
      </c>
      <c r="F498" s="157">
        <v>0</v>
      </c>
      <c r="G498" s="157">
        <v>19840</v>
      </c>
      <c r="H498" s="156">
        <v>2423.5100000000002</v>
      </c>
      <c r="I498" s="156">
        <v>0</v>
      </c>
      <c r="J498" s="156">
        <v>0</v>
      </c>
      <c r="K498" s="156">
        <v>69.64</v>
      </c>
      <c r="L498" s="156">
        <v>0</v>
      </c>
      <c r="M498" s="156">
        <v>0</v>
      </c>
      <c r="N498" s="156">
        <f t="shared" si="89"/>
        <v>69.64</v>
      </c>
      <c r="O498" s="156">
        <v>0</v>
      </c>
      <c r="P498" s="156">
        <v>0</v>
      </c>
      <c r="Q498" s="156">
        <v>0</v>
      </c>
      <c r="R498" s="156">
        <v>0</v>
      </c>
      <c r="S498" s="156">
        <v>0</v>
      </c>
      <c r="T498" s="156">
        <v>0</v>
      </c>
      <c r="U498" s="156">
        <v>0</v>
      </c>
      <c r="V498" s="156">
        <v>0</v>
      </c>
      <c r="W498" s="156">
        <v>0</v>
      </c>
      <c r="X498" s="156">
        <v>0</v>
      </c>
      <c r="Y498" s="156">
        <v>0</v>
      </c>
      <c r="Z498" s="156">
        <v>14.09</v>
      </c>
      <c r="AA498" s="156">
        <v>0</v>
      </c>
      <c r="AB498" s="156">
        <v>0</v>
      </c>
      <c r="AC498" s="156">
        <v>0</v>
      </c>
      <c r="AD498" s="156">
        <v>0</v>
      </c>
      <c r="AE498" s="156">
        <v>0</v>
      </c>
      <c r="AF498" s="156">
        <v>0</v>
      </c>
      <c r="AG498" s="156">
        <v>0</v>
      </c>
      <c r="AH498" s="156">
        <v>0</v>
      </c>
      <c r="AI498" s="156">
        <v>0</v>
      </c>
      <c r="AJ498" s="156">
        <v>0</v>
      </c>
      <c r="AK498" s="156">
        <v>0</v>
      </c>
      <c r="AL498" s="156">
        <v>0</v>
      </c>
      <c r="AM498" s="156">
        <v>-80.95</v>
      </c>
      <c r="AN498" s="156">
        <v>0</v>
      </c>
      <c r="AO498" s="156">
        <v>0</v>
      </c>
      <c r="AP498" s="156">
        <v>0</v>
      </c>
      <c r="AQ498" s="156">
        <v>0</v>
      </c>
      <c r="AR498" s="156">
        <v>0</v>
      </c>
      <c r="AS498" s="156">
        <v>0</v>
      </c>
      <c r="AT498" s="156">
        <f t="shared" si="90"/>
        <v>2426.2900000000004</v>
      </c>
    </row>
    <row r="499" spans="1:46" ht="11.25" hidden="1" outlineLevel="3">
      <c r="A499" s="155" t="s">
        <v>152</v>
      </c>
      <c r="B499" s="155" t="s">
        <v>137</v>
      </c>
      <c r="C499" s="155" t="s">
        <v>133</v>
      </c>
      <c r="D499" s="156" t="s">
        <v>144</v>
      </c>
      <c r="E499" s="156" t="s">
        <v>151</v>
      </c>
      <c r="F499" s="157">
        <v>0</v>
      </c>
      <c r="G499" s="157">
        <v>36030</v>
      </c>
      <c r="H499" s="156">
        <v>3627.71</v>
      </c>
      <c r="I499" s="156">
        <v>0</v>
      </c>
      <c r="J499" s="156">
        <v>0</v>
      </c>
      <c r="K499" s="156">
        <v>4.13</v>
      </c>
      <c r="L499" s="156">
        <v>0</v>
      </c>
      <c r="M499" s="156">
        <v>0</v>
      </c>
      <c r="N499" s="156">
        <f t="shared" si="89"/>
        <v>4.13</v>
      </c>
      <c r="O499" s="156">
        <v>0</v>
      </c>
      <c r="P499" s="156">
        <v>0</v>
      </c>
      <c r="Q499" s="156">
        <v>0</v>
      </c>
      <c r="R499" s="156">
        <v>0</v>
      </c>
      <c r="S499" s="156">
        <v>0</v>
      </c>
      <c r="T499" s="156">
        <v>0</v>
      </c>
      <c r="U499" s="156">
        <v>0</v>
      </c>
      <c r="V499" s="156">
        <v>0</v>
      </c>
      <c r="W499" s="156">
        <v>0</v>
      </c>
      <c r="X499" s="156">
        <v>0</v>
      </c>
      <c r="Y499" s="156">
        <v>0</v>
      </c>
      <c r="Z499" s="156">
        <v>25.58</v>
      </c>
      <c r="AA499" s="156">
        <v>0</v>
      </c>
      <c r="AB499" s="156">
        <v>0</v>
      </c>
      <c r="AC499" s="156">
        <v>0</v>
      </c>
      <c r="AD499" s="156">
        <v>0</v>
      </c>
      <c r="AE499" s="156">
        <v>0</v>
      </c>
      <c r="AF499" s="156">
        <v>0</v>
      </c>
      <c r="AG499" s="156">
        <v>0</v>
      </c>
      <c r="AH499" s="156">
        <v>0</v>
      </c>
      <c r="AI499" s="156">
        <v>0</v>
      </c>
      <c r="AJ499" s="156">
        <v>0</v>
      </c>
      <c r="AK499" s="156">
        <v>0</v>
      </c>
      <c r="AL499" s="156">
        <v>0</v>
      </c>
      <c r="AM499" s="156">
        <v>-147</v>
      </c>
      <c r="AN499" s="156">
        <v>0</v>
      </c>
      <c r="AO499" s="156">
        <v>0</v>
      </c>
      <c r="AP499" s="156">
        <v>0</v>
      </c>
      <c r="AQ499" s="156">
        <v>0</v>
      </c>
      <c r="AR499" s="156">
        <v>0</v>
      </c>
      <c r="AS499" s="156">
        <v>0</v>
      </c>
      <c r="AT499" s="156">
        <f t="shared" si="90"/>
        <v>3510.42</v>
      </c>
    </row>
    <row r="500" spans="1:46" ht="11.25" hidden="1" outlineLevel="3">
      <c r="A500" s="155" t="s">
        <v>152</v>
      </c>
      <c r="B500" s="155" t="s">
        <v>158</v>
      </c>
      <c r="C500" s="155" t="s">
        <v>133</v>
      </c>
      <c r="D500" s="156" t="s">
        <v>144</v>
      </c>
      <c r="E500" s="156" t="s">
        <v>151</v>
      </c>
      <c r="F500" s="157">
        <v>0</v>
      </c>
      <c r="G500" s="157">
        <v>36080</v>
      </c>
      <c r="H500" s="156">
        <v>3591.56</v>
      </c>
      <c r="I500" s="156">
        <v>0</v>
      </c>
      <c r="J500" s="156">
        <v>0</v>
      </c>
      <c r="K500" s="156">
        <v>4.33</v>
      </c>
      <c r="L500" s="156">
        <v>0</v>
      </c>
      <c r="M500" s="156">
        <v>0</v>
      </c>
      <c r="N500" s="156">
        <f t="shared" si="89"/>
        <v>4.33</v>
      </c>
      <c r="O500" s="156">
        <v>0</v>
      </c>
      <c r="P500" s="156">
        <v>0</v>
      </c>
      <c r="Q500" s="156">
        <v>0</v>
      </c>
      <c r="R500" s="156">
        <v>0</v>
      </c>
      <c r="S500" s="156">
        <v>0</v>
      </c>
      <c r="T500" s="156">
        <v>0</v>
      </c>
      <c r="U500" s="156">
        <v>0</v>
      </c>
      <c r="V500" s="156">
        <v>0</v>
      </c>
      <c r="W500" s="156">
        <v>0</v>
      </c>
      <c r="X500" s="156">
        <v>0</v>
      </c>
      <c r="Y500" s="156">
        <v>0</v>
      </c>
      <c r="Z500" s="156">
        <v>25.61</v>
      </c>
      <c r="AA500" s="156">
        <v>0</v>
      </c>
      <c r="AB500" s="156">
        <v>0</v>
      </c>
      <c r="AC500" s="156">
        <v>0</v>
      </c>
      <c r="AD500" s="156">
        <v>0</v>
      </c>
      <c r="AE500" s="156">
        <v>0</v>
      </c>
      <c r="AF500" s="156">
        <v>0</v>
      </c>
      <c r="AG500" s="156">
        <v>0</v>
      </c>
      <c r="AH500" s="156">
        <v>0</v>
      </c>
      <c r="AI500" s="156">
        <v>0</v>
      </c>
      <c r="AJ500" s="156">
        <v>0</v>
      </c>
      <c r="AK500" s="156">
        <v>0</v>
      </c>
      <c r="AL500" s="156">
        <v>0</v>
      </c>
      <c r="AM500" s="156">
        <v>-147.21</v>
      </c>
      <c r="AN500" s="156">
        <v>0</v>
      </c>
      <c r="AO500" s="156">
        <v>0</v>
      </c>
      <c r="AP500" s="156">
        <v>0</v>
      </c>
      <c r="AQ500" s="156">
        <v>0</v>
      </c>
      <c r="AR500" s="156">
        <v>0</v>
      </c>
      <c r="AS500" s="156">
        <v>0</v>
      </c>
      <c r="AT500" s="156">
        <f t="shared" si="90"/>
        <v>3474.29</v>
      </c>
    </row>
    <row r="501" spans="1:46" ht="11.25" hidden="1" outlineLevel="3">
      <c r="A501" s="155" t="s">
        <v>167</v>
      </c>
      <c r="B501" s="155" t="s">
        <v>146</v>
      </c>
      <c r="C501" s="155" t="s">
        <v>133</v>
      </c>
      <c r="D501" s="156" t="s">
        <v>144</v>
      </c>
      <c r="E501" s="156" t="s">
        <v>151</v>
      </c>
      <c r="F501" s="157">
        <v>0</v>
      </c>
      <c r="G501" s="157">
        <v>1038</v>
      </c>
      <c r="H501" s="156">
        <v>138.07</v>
      </c>
      <c r="I501" s="156">
        <v>0</v>
      </c>
      <c r="J501" s="156">
        <v>28.51</v>
      </c>
      <c r="K501" s="156">
        <v>0</v>
      </c>
      <c r="L501" s="156">
        <v>0</v>
      </c>
      <c r="M501" s="156">
        <v>0</v>
      </c>
      <c r="N501" s="156">
        <f t="shared" si="89"/>
        <v>28.51</v>
      </c>
      <c r="O501" s="156">
        <v>0</v>
      </c>
      <c r="P501" s="156">
        <v>0</v>
      </c>
      <c r="Q501" s="156">
        <v>0</v>
      </c>
      <c r="R501" s="156">
        <v>0</v>
      </c>
      <c r="S501" s="156">
        <v>0</v>
      </c>
      <c r="T501" s="156">
        <v>0</v>
      </c>
      <c r="U501" s="156">
        <v>0</v>
      </c>
      <c r="V501" s="156">
        <v>0</v>
      </c>
      <c r="W501" s="156">
        <v>0</v>
      </c>
      <c r="X501" s="156">
        <v>1.25</v>
      </c>
      <c r="Y501" s="156">
        <v>0</v>
      </c>
      <c r="Z501" s="156">
        <v>0</v>
      </c>
      <c r="AA501" s="156">
        <v>0</v>
      </c>
      <c r="AB501" s="156">
        <v>0</v>
      </c>
      <c r="AC501" s="156">
        <v>0</v>
      </c>
      <c r="AD501" s="156">
        <v>0</v>
      </c>
      <c r="AE501" s="156">
        <v>0</v>
      </c>
      <c r="AF501" s="156">
        <v>0</v>
      </c>
      <c r="AG501" s="156">
        <v>0</v>
      </c>
      <c r="AH501" s="156">
        <v>0</v>
      </c>
      <c r="AI501" s="156">
        <v>0</v>
      </c>
      <c r="AJ501" s="156">
        <v>0</v>
      </c>
      <c r="AK501" s="156">
        <v>0</v>
      </c>
      <c r="AL501" s="156">
        <v>0</v>
      </c>
      <c r="AM501" s="156">
        <v>-5.12</v>
      </c>
      <c r="AN501" s="156">
        <v>0</v>
      </c>
      <c r="AO501" s="156">
        <v>0</v>
      </c>
      <c r="AP501" s="156">
        <v>0</v>
      </c>
      <c r="AQ501" s="156">
        <v>0</v>
      </c>
      <c r="AR501" s="156">
        <v>0</v>
      </c>
      <c r="AS501" s="156">
        <v>0</v>
      </c>
      <c r="AT501" s="156">
        <f t="shared" si="90"/>
        <v>162.70999999999998</v>
      </c>
    </row>
    <row r="502" spans="1:46" ht="11.25" outlineLevel="2" collapsed="1">
      <c r="D502" s="156"/>
      <c r="E502" s="156" t="s">
        <v>227</v>
      </c>
      <c r="F502" s="157">
        <f>6+15</f>
        <v>21</v>
      </c>
      <c r="G502" s="157">
        <f t="shared" ref="G502:AT502" si="91">SUBTOTAL(9,G493:G501)</f>
        <v>610900</v>
      </c>
      <c r="H502" s="156">
        <f t="shared" si="91"/>
        <v>65104.939999999995</v>
      </c>
      <c r="I502" s="156">
        <f t="shared" si="91"/>
        <v>0</v>
      </c>
      <c r="J502" s="156">
        <f t="shared" si="91"/>
        <v>28.51</v>
      </c>
      <c r="K502" s="156">
        <f t="shared" si="91"/>
        <v>1072.19</v>
      </c>
      <c r="L502" s="156">
        <f t="shared" si="91"/>
        <v>0</v>
      </c>
      <c r="M502" s="156">
        <f t="shared" si="91"/>
        <v>287.33</v>
      </c>
      <c r="N502" s="156">
        <f t="shared" si="91"/>
        <v>1388.03</v>
      </c>
      <c r="O502" s="156">
        <f t="shared" si="91"/>
        <v>0</v>
      </c>
      <c r="P502" s="156">
        <f t="shared" si="91"/>
        <v>0</v>
      </c>
      <c r="Q502" s="156">
        <f t="shared" si="91"/>
        <v>12.99</v>
      </c>
      <c r="R502" s="156">
        <f t="shared" si="91"/>
        <v>0</v>
      </c>
      <c r="S502" s="156">
        <f t="shared" si="91"/>
        <v>0</v>
      </c>
      <c r="T502" s="156">
        <f t="shared" si="91"/>
        <v>0</v>
      </c>
      <c r="U502" s="156">
        <f t="shared" si="91"/>
        <v>0</v>
      </c>
      <c r="V502" s="156">
        <f t="shared" si="91"/>
        <v>0</v>
      </c>
      <c r="W502" s="156">
        <f t="shared" si="91"/>
        <v>0</v>
      </c>
      <c r="X502" s="156">
        <f t="shared" si="91"/>
        <v>1.25</v>
      </c>
      <c r="Y502" s="156">
        <f t="shared" si="91"/>
        <v>0</v>
      </c>
      <c r="Z502" s="156">
        <f t="shared" si="91"/>
        <v>426.00999999999993</v>
      </c>
      <c r="AA502" s="156">
        <f t="shared" si="91"/>
        <v>0</v>
      </c>
      <c r="AB502" s="156">
        <f t="shared" si="91"/>
        <v>0</v>
      </c>
      <c r="AC502" s="156">
        <f t="shared" si="91"/>
        <v>0</v>
      </c>
      <c r="AD502" s="156">
        <f t="shared" si="91"/>
        <v>0</v>
      </c>
      <c r="AE502" s="156">
        <f t="shared" si="91"/>
        <v>0</v>
      </c>
      <c r="AF502" s="156">
        <f t="shared" si="91"/>
        <v>0</v>
      </c>
      <c r="AG502" s="156">
        <f t="shared" si="91"/>
        <v>0</v>
      </c>
      <c r="AH502" s="156">
        <f t="shared" si="91"/>
        <v>0</v>
      </c>
      <c r="AI502" s="156">
        <f t="shared" si="91"/>
        <v>0</v>
      </c>
      <c r="AJ502" s="156">
        <f t="shared" si="91"/>
        <v>0</v>
      </c>
      <c r="AK502" s="156">
        <f t="shared" si="91"/>
        <v>0</v>
      </c>
      <c r="AL502" s="156">
        <f t="shared" si="91"/>
        <v>0</v>
      </c>
      <c r="AM502" s="156">
        <f t="shared" si="91"/>
        <v>-2453.2399999999998</v>
      </c>
      <c r="AN502" s="156">
        <f t="shared" si="91"/>
        <v>0</v>
      </c>
      <c r="AO502" s="156">
        <f t="shared" si="91"/>
        <v>101.75</v>
      </c>
      <c r="AP502" s="156">
        <f t="shared" si="91"/>
        <v>0</v>
      </c>
      <c r="AQ502" s="156">
        <f t="shared" si="91"/>
        <v>0</v>
      </c>
      <c r="AR502" s="156">
        <f t="shared" si="91"/>
        <v>0</v>
      </c>
      <c r="AS502" s="156">
        <f t="shared" si="91"/>
        <v>0</v>
      </c>
      <c r="AT502" s="156">
        <f t="shared" si="91"/>
        <v>64581.73</v>
      </c>
    </row>
    <row r="503" spans="1:46" ht="11.25" outlineLevel="1">
      <c r="D503" s="159" t="s">
        <v>237</v>
      </c>
      <c r="E503" s="159"/>
      <c r="F503" s="160">
        <f>F448+F472+F475+F482+F492+F502</f>
        <v>1592</v>
      </c>
      <c r="G503" s="160">
        <f t="shared" ref="G503:AT503" si="92">SUBTOTAL(9,G415:G501)</f>
        <v>9581918</v>
      </c>
      <c r="H503" s="159">
        <f t="shared" si="92"/>
        <v>959882.09999999974</v>
      </c>
      <c r="I503" s="159">
        <f t="shared" si="92"/>
        <v>0</v>
      </c>
      <c r="J503" s="159">
        <f t="shared" si="92"/>
        <v>5726.35</v>
      </c>
      <c r="K503" s="159">
        <f t="shared" si="92"/>
        <v>14079.279999999995</v>
      </c>
      <c r="L503" s="159">
        <f t="shared" si="92"/>
        <v>19903.010000000002</v>
      </c>
      <c r="M503" s="159">
        <f t="shared" si="92"/>
        <v>11355.08</v>
      </c>
      <c r="N503" s="159">
        <f t="shared" si="92"/>
        <v>51063.72</v>
      </c>
      <c r="O503" s="159">
        <f t="shared" si="92"/>
        <v>2138.17</v>
      </c>
      <c r="P503" s="159">
        <f t="shared" si="92"/>
        <v>1774.4000000000003</v>
      </c>
      <c r="Q503" s="159">
        <f t="shared" si="92"/>
        <v>513.3499999999998</v>
      </c>
      <c r="R503" s="159">
        <f t="shared" si="92"/>
        <v>0</v>
      </c>
      <c r="S503" s="159">
        <f t="shared" si="92"/>
        <v>0</v>
      </c>
      <c r="T503" s="159">
        <f t="shared" si="92"/>
        <v>1234.8</v>
      </c>
      <c r="U503" s="159">
        <f t="shared" si="92"/>
        <v>0</v>
      </c>
      <c r="V503" s="159">
        <f t="shared" si="92"/>
        <v>0</v>
      </c>
      <c r="W503" s="159">
        <f t="shared" si="92"/>
        <v>0</v>
      </c>
      <c r="X503" s="159">
        <f t="shared" si="92"/>
        <v>65.56</v>
      </c>
      <c r="Y503" s="159">
        <f t="shared" si="92"/>
        <v>1365.08</v>
      </c>
      <c r="Z503" s="159">
        <f t="shared" si="92"/>
        <v>5893.5699999999988</v>
      </c>
      <c r="AA503" s="159">
        <f t="shared" si="92"/>
        <v>1139.42</v>
      </c>
      <c r="AB503" s="159">
        <f t="shared" si="92"/>
        <v>0</v>
      </c>
      <c r="AC503" s="159">
        <f t="shared" si="92"/>
        <v>0</v>
      </c>
      <c r="AD503" s="159">
        <f t="shared" si="92"/>
        <v>0</v>
      </c>
      <c r="AE503" s="159">
        <f t="shared" si="92"/>
        <v>0</v>
      </c>
      <c r="AF503" s="159">
        <f t="shared" si="92"/>
        <v>0</v>
      </c>
      <c r="AG503" s="159">
        <f t="shared" si="92"/>
        <v>0</v>
      </c>
      <c r="AH503" s="159">
        <f t="shared" si="92"/>
        <v>0</v>
      </c>
      <c r="AI503" s="159">
        <f t="shared" si="92"/>
        <v>0</v>
      </c>
      <c r="AJ503" s="159">
        <f t="shared" si="92"/>
        <v>0</v>
      </c>
      <c r="AK503" s="159">
        <f t="shared" si="92"/>
        <v>0</v>
      </c>
      <c r="AL503" s="159">
        <f t="shared" si="92"/>
        <v>4418</v>
      </c>
      <c r="AM503" s="159">
        <f t="shared" si="92"/>
        <v>-42842.239999999983</v>
      </c>
      <c r="AN503" s="159">
        <f t="shared" si="92"/>
        <v>0</v>
      </c>
      <c r="AO503" s="159">
        <f t="shared" si="92"/>
        <v>2992.7799999999997</v>
      </c>
      <c r="AP503" s="159">
        <f t="shared" si="92"/>
        <v>0</v>
      </c>
      <c r="AQ503" s="159">
        <f t="shared" si="92"/>
        <v>0</v>
      </c>
      <c r="AR503" s="159">
        <f t="shared" si="92"/>
        <v>-760.16000000000008</v>
      </c>
      <c r="AS503" s="159">
        <f t="shared" si="92"/>
        <v>-58622.046506502011</v>
      </c>
      <c r="AT503" s="159">
        <f t="shared" si="92"/>
        <v>985220.7100000002</v>
      </c>
    </row>
    <row r="504" spans="1:46" ht="11.25" hidden="1" outlineLevel="3">
      <c r="A504" s="155" t="s">
        <v>152</v>
      </c>
      <c r="B504" s="155">
        <v>0</v>
      </c>
      <c r="C504" s="155">
        <v>0</v>
      </c>
      <c r="D504" s="156" t="s">
        <v>83</v>
      </c>
      <c r="E504" s="156" t="s">
        <v>139</v>
      </c>
      <c r="F504" s="157">
        <v>0</v>
      </c>
      <c r="G504" s="157">
        <v>97169</v>
      </c>
      <c r="H504" s="156">
        <v>11534.87</v>
      </c>
      <c r="I504" s="156">
        <v>0</v>
      </c>
      <c r="J504" s="156">
        <v>0</v>
      </c>
      <c r="K504" s="156">
        <v>341.06</v>
      </c>
      <c r="L504" s="156">
        <v>0</v>
      </c>
      <c r="M504" s="156">
        <v>0</v>
      </c>
      <c r="N504" s="156">
        <f t="shared" ref="N504:N513" si="93">J504+K504+L504+M504</f>
        <v>341.06</v>
      </c>
      <c r="O504" s="156">
        <v>0</v>
      </c>
      <c r="P504" s="156">
        <v>0</v>
      </c>
      <c r="Q504" s="156">
        <v>0</v>
      </c>
      <c r="R504" s="156">
        <v>0</v>
      </c>
      <c r="S504" s="156">
        <v>0</v>
      </c>
      <c r="T504" s="156">
        <v>0</v>
      </c>
      <c r="U504" s="156">
        <v>0</v>
      </c>
      <c r="V504" s="156">
        <v>0</v>
      </c>
      <c r="W504" s="156">
        <v>0</v>
      </c>
      <c r="X504" s="156">
        <v>0</v>
      </c>
      <c r="Y504" s="156">
        <v>0</v>
      </c>
      <c r="Z504" s="156">
        <v>68.989999999999995</v>
      </c>
      <c r="AA504" s="156">
        <v>0</v>
      </c>
      <c r="AB504" s="156">
        <v>0</v>
      </c>
      <c r="AC504" s="156">
        <v>0</v>
      </c>
      <c r="AD504" s="156">
        <v>0</v>
      </c>
      <c r="AE504" s="156">
        <v>0</v>
      </c>
      <c r="AF504" s="156">
        <v>0</v>
      </c>
      <c r="AG504" s="156">
        <v>0</v>
      </c>
      <c r="AH504" s="156">
        <v>0</v>
      </c>
      <c r="AI504" s="156">
        <v>0</v>
      </c>
      <c r="AJ504" s="156">
        <v>0</v>
      </c>
      <c r="AK504" s="156">
        <v>0</v>
      </c>
      <c r="AL504" s="156">
        <v>0</v>
      </c>
      <c r="AM504" s="156">
        <v>-487.79</v>
      </c>
      <c r="AN504" s="156">
        <v>0</v>
      </c>
      <c r="AO504" s="156">
        <v>0</v>
      </c>
      <c r="AP504" s="156">
        <v>0</v>
      </c>
      <c r="AQ504" s="156">
        <v>0</v>
      </c>
      <c r="AR504" s="156">
        <v>0</v>
      </c>
      <c r="AS504" s="156">
        <v>0</v>
      </c>
      <c r="AT504" s="156">
        <f t="shared" ref="AT504:AT513" si="94">H504+I504+N504+O504+P504+Q504+T504+X504+Y504+Z504+AA504+AB504+AM504+AO504</f>
        <v>11457.13</v>
      </c>
    </row>
    <row r="505" spans="1:46" ht="11.25" hidden="1" outlineLevel="3">
      <c r="A505" s="155" t="s">
        <v>152</v>
      </c>
      <c r="D505" s="156" t="s">
        <v>83</v>
      </c>
      <c r="E505" s="156" t="s">
        <v>139</v>
      </c>
      <c r="F505" s="157">
        <v>0</v>
      </c>
      <c r="G505" s="157">
        <v>-91613</v>
      </c>
      <c r="H505" s="156">
        <v>-10877.15</v>
      </c>
      <c r="I505" s="156">
        <v>0</v>
      </c>
      <c r="J505" s="156">
        <v>0</v>
      </c>
      <c r="K505" s="156">
        <v>-99.05</v>
      </c>
      <c r="L505" s="156">
        <v>0</v>
      </c>
      <c r="M505" s="156">
        <v>0</v>
      </c>
      <c r="N505" s="156">
        <f t="shared" si="93"/>
        <v>-99.05</v>
      </c>
      <c r="O505" s="156">
        <v>0</v>
      </c>
      <c r="P505" s="156">
        <v>0</v>
      </c>
      <c r="Q505" s="156">
        <v>0</v>
      </c>
      <c r="R505" s="156">
        <v>0</v>
      </c>
      <c r="S505" s="156">
        <v>0</v>
      </c>
      <c r="T505" s="156">
        <v>0</v>
      </c>
      <c r="U505" s="156">
        <v>0</v>
      </c>
      <c r="V505" s="156">
        <v>0</v>
      </c>
      <c r="W505" s="156">
        <v>0</v>
      </c>
      <c r="X505" s="156">
        <v>0</v>
      </c>
      <c r="Y505" s="156">
        <v>0</v>
      </c>
      <c r="Z505" s="156">
        <v>-65.05</v>
      </c>
      <c r="AA505" s="156">
        <v>0</v>
      </c>
      <c r="AB505" s="156">
        <v>0</v>
      </c>
      <c r="AC505" s="156">
        <v>0</v>
      </c>
      <c r="AD505" s="156">
        <v>0</v>
      </c>
      <c r="AE505" s="156">
        <v>0</v>
      </c>
      <c r="AF505" s="156">
        <v>0</v>
      </c>
      <c r="AG505" s="156">
        <v>0</v>
      </c>
      <c r="AH505" s="156">
        <v>0</v>
      </c>
      <c r="AI505" s="156">
        <v>0</v>
      </c>
      <c r="AJ505" s="156">
        <v>0</v>
      </c>
      <c r="AK505" s="156">
        <v>0</v>
      </c>
      <c r="AL505" s="156">
        <v>-447.06</v>
      </c>
      <c r="AM505" s="156">
        <v>459.9</v>
      </c>
      <c r="AN505" s="156">
        <v>0</v>
      </c>
      <c r="AO505" s="156">
        <v>0</v>
      </c>
      <c r="AP505" s="156">
        <v>0</v>
      </c>
      <c r="AQ505" s="156">
        <v>0</v>
      </c>
      <c r="AR505" s="156">
        <v>0</v>
      </c>
      <c r="AS505" s="156">
        <v>0</v>
      </c>
      <c r="AT505" s="156">
        <f t="shared" si="94"/>
        <v>-10581.349999999999</v>
      </c>
    </row>
    <row r="506" spans="1:46" ht="11.25" hidden="1" outlineLevel="3">
      <c r="A506" s="155" t="s">
        <v>145</v>
      </c>
      <c r="B506" s="155" t="s">
        <v>146</v>
      </c>
      <c r="C506" s="155" t="s">
        <v>133</v>
      </c>
      <c r="D506" s="156" t="s">
        <v>83</v>
      </c>
      <c r="E506" s="156" t="s">
        <v>139</v>
      </c>
      <c r="F506" s="157">
        <v>0</v>
      </c>
      <c r="G506" s="157">
        <v>-1804</v>
      </c>
      <c r="H506" s="156">
        <v>-99.96</v>
      </c>
      <c r="I506" s="156">
        <v>0</v>
      </c>
      <c r="J506" s="156">
        <v>0</v>
      </c>
      <c r="K506" s="156">
        <v>0</v>
      </c>
      <c r="L506" s="156">
        <v>0</v>
      </c>
      <c r="M506" s="156">
        <v>-71.73</v>
      </c>
      <c r="N506" s="156">
        <f t="shared" si="93"/>
        <v>-71.73</v>
      </c>
      <c r="O506" s="156">
        <v>0</v>
      </c>
      <c r="P506" s="156">
        <v>0</v>
      </c>
      <c r="Q506" s="156">
        <v>-2.37</v>
      </c>
      <c r="R506" s="156">
        <v>0</v>
      </c>
      <c r="S506" s="156">
        <v>0</v>
      </c>
      <c r="T506" s="156">
        <v>0</v>
      </c>
      <c r="U506" s="156">
        <v>0</v>
      </c>
      <c r="V506" s="156">
        <v>0</v>
      </c>
      <c r="W506" s="156">
        <v>0</v>
      </c>
      <c r="X506" s="156">
        <v>0</v>
      </c>
      <c r="Y506" s="156">
        <v>0</v>
      </c>
      <c r="Z506" s="156">
        <v>0</v>
      </c>
      <c r="AA506" s="156">
        <v>0</v>
      </c>
      <c r="AB506" s="156">
        <v>0</v>
      </c>
      <c r="AC506" s="156">
        <v>0</v>
      </c>
      <c r="AD506" s="156">
        <v>0</v>
      </c>
      <c r="AE506" s="156">
        <v>0</v>
      </c>
      <c r="AF506" s="156">
        <v>0</v>
      </c>
      <c r="AG506" s="156">
        <v>0</v>
      </c>
      <c r="AH506" s="156">
        <v>0</v>
      </c>
      <c r="AI506" s="156">
        <v>0</v>
      </c>
      <c r="AJ506" s="156">
        <v>0</v>
      </c>
      <c r="AK506" s="156">
        <v>0</v>
      </c>
      <c r="AL506" s="156">
        <v>0</v>
      </c>
      <c r="AM506" s="156">
        <v>0</v>
      </c>
      <c r="AN506" s="156">
        <v>0</v>
      </c>
      <c r="AO506" s="156">
        <v>-19.38</v>
      </c>
      <c r="AP506" s="156">
        <v>0</v>
      </c>
      <c r="AQ506" s="156">
        <v>0</v>
      </c>
      <c r="AR506" s="156">
        <v>0</v>
      </c>
      <c r="AS506" s="156">
        <v>0</v>
      </c>
      <c r="AT506" s="156">
        <f t="shared" si="94"/>
        <v>-193.44</v>
      </c>
    </row>
    <row r="507" spans="1:46" ht="11.25" hidden="1" outlineLevel="3">
      <c r="A507" s="155" t="s">
        <v>152</v>
      </c>
      <c r="B507" s="155" t="s">
        <v>153</v>
      </c>
      <c r="C507" s="155" t="s">
        <v>133</v>
      </c>
      <c r="D507" s="156" t="s">
        <v>83</v>
      </c>
      <c r="E507" s="156" t="s">
        <v>139</v>
      </c>
      <c r="F507" s="157">
        <v>0</v>
      </c>
      <c r="G507" s="157">
        <v>-80213</v>
      </c>
      <c r="H507" s="156">
        <v>-9312.98</v>
      </c>
      <c r="I507" s="156">
        <v>0</v>
      </c>
      <c r="J507" s="156">
        <v>0</v>
      </c>
      <c r="K507" s="156">
        <v>-307.86</v>
      </c>
      <c r="L507" s="156">
        <v>0</v>
      </c>
      <c r="M507" s="156">
        <v>0</v>
      </c>
      <c r="N507" s="156">
        <f t="shared" si="93"/>
        <v>-307.86</v>
      </c>
      <c r="O507" s="156">
        <v>0</v>
      </c>
      <c r="P507" s="156">
        <v>0</v>
      </c>
      <c r="Q507" s="156">
        <v>0</v>
      </c>
      <c r="R507" s="156">
        <v>0</v>
      </c>
      <c r="S507" s="156">
        <v>0</v>
      </c>
      <c r="T507" s="156">
        <v>0</v>
      </c>
      <c r="U507" s="156">
        <v>0</v>
      </c>
      <c r="V507" s="156">
        <v>0</v>
      </c>
      <c r="W507" s="156">
        <v>0</v>
      </c>
      <c r="X507" s="156">
        <v>0</v>
      </c>
      <c r="Y507" s="156">
        <v>0</v>
      </c>
      <c r="Z507" s="156">
        <v>-56.97</v>
      </c>
      <c r="AA507" s="156">
        <v>0</v>
      </c>
      <c r="AB507" s="156">
        <v>0</v>
      </c>
      <c r="AC507" s="156">
        <v>0</v>
      </c>
      <c r="AD507" s="156">
        <v>0</v>
      </c>
      <c r="AE507" s="156">
        <v>0</v>
      </c>
      <c r="AF507" s="156">
        <v>0</v>
      </c>
      <c r="AG507" s="156">
        <v>0</v>
      </c>
      <c r="AH507" s="156">
        <v>0</v>
      </c>
      <c r="AI507" s="156">
        <v>0</v>
      </c>
      <c r="AJ507" s="156">
        <v>0</v>
      </c>
      <c r="AK507" s="156">
        <v>0</v>
      </c>
      <c r="AL507" s="156">
        <v>0</v>
      </c>
      <c r="AM507" s="156">
        <v>402.68</v>
      </c>
      <c r="AN507" s="156">
        <v>0</v>
      </c>
      <c r="AO507" s="156">
        <v>0</v>
      </c>
      <c r="AP507" s="156">
        <v>0</v>
      </c>
      <c r="AQ507" s="156">
        <v>0</v>
      </c>
      <c r="AR507" s="156">
        <v>0</v>
      </c>
      <c r="AS507" s="156">
        <v>0</v>
      </c>
      <c r="AT507" s="156">
        <f t="shared" si="94"/>
        <v>-9275.1299999999992</v>
      </c>
    </row>
    <row r="508" spans="1:46" ht="11.25" hidden="1" outlineLevel="3">
      <c r="A508" s="155" t="s">
        <v>152</v>
      </c>
      <c r="B508" s="155" t="s">
        <v>154</v>
      </c>
      <c r="C508" s="155" t="s">
        <v>133</v>
      </c>
      <c r="D508" s="156" t="s">
        <v>83</v>
      </c>
      <c r="E508" s="156" t="s">
        <v>139</v>
      </c>
      <c r="F508" s="157">
        <v>0</v>
      </c>
      <c r="G508" s="157">
        <v>8429</v>
      </c>
      <c r="H508" s="156">
        <v>1118.71</v>
      </c>
      <c r="I508" s="156">
        <v>0</v>
      </c>
      <c r="J508" s="156">
        <v>0</v>
      </c>
      <c r="K508" s="156">
        <v>25.54</v>
      </c>
      <c r="L508" s="156">
        <v>0</v>
      </c>
      <c r="M508" s="156">
        <v>0</v>
      </c>
      <c r="N508" s="156">
        <f t="shared" si="93"/>
        <v>25.54</v>
      </c>
      <c r="O508" s="156">
        <v>0</v>
      </c>
      <c r="P508" s="156">
        <v>0</v>
      </c>
      <c r="Q508" s="156">
        <v>0</v>
      </c>
      <c r="R508" s="156">
        <v>0</v>
      </c>
      <c r="S508" s="156">
        <v>0</v>
      </c>
      <c r="T508" s="156">
        <v>0</v>
      </c>
      <c r="U508" s="156">
        <v>0</v>
      </c>
      <c r="V508" s="156">
        <v>0</v>
      </c>
      <c r="W508" s="156">
        <v>0</v>
      </c>
      <c r="X508" s="156">
        <v>0</v>
      </c>
      <c r="Y508" s="156">
        <v>0</v>
      </c>
      <c r="Z508" s="156">
        <v>6</v>
      </c>
      <c r="AA508" s="156">
        <v>0</v>
      </c>
      <c r="AB508" s="156">
        <v>0</v>
      </c>
      <c r="AC508" s="156">
        <v>0</v>
      </c>
      <c r="AD508" s="156">
        <v>0</v>
      </c>
      <c r="AE508" s="156">
        <v>0</v>
      </c>
      <c r="AF508" s="156">
        <v>0</v>
      </c>
      <c r="AG508" s="156">
        <v>0</v>
      </c>
      <c r="AH508" s="156">
        <v>0</v>
      </c>
      <c r="AI508" s="156">
        <v>0</v>
      </c>
      <c r="AJ508" s="156">
        <v>0</v>
      </c>
      <c r="AK508" s="156">
        <v>0</v>
      </c>
      <c r="AL508" s="156">
        <v>0</v>
      </c>
      <c r="AM508" s="156">
        <v>-42.31</v>
      </c>
      <c r="AN508" s="156">
        <v>0</v>
      </c>
      <c r="AO508" s="156">
        <v>0</v>
      </c>
      <c r="AP508" s="156">
        <v>0</v>
      </c>
      <c r="AQ508" s="156">
        <v>0</v>
      </c>
      <c r="AR508" s="156">
        <v>0</v>
      </c>
      <c r="AS508" s="156">
        <v>0</v>
      </c>
      <c r="AT508" s="156">
        <f t="shared" si="94"/>
        <v>1107.94</v>
      </c>
    </row>
    <row r="509" spans="1:46" ht="11.25" hidden="1" outlineLevel="3">
      <c r="A509" s="155" t="s">
        <v>152</v>
      </c>
      <c r="B509" s="155" t="s">
        <v>155</v>
      </c>
      <c r="C509" s="155" t="s">
        <v>133</v>
      </c>
      <c r="D509" s="156" t="s">
        <v>83</v>
      </c>
      <c r="E509" s="156" t="s">
        <v>139</v>
      </c>
      <c r="F509" s="157">
        <v>0</v>
      </c>
      <c r="G509" s="157">
        <v>96816</v>
      </c>
      <c r="H509" s="156">
        <v>11633.46</v>
      </c>
      <c r="I509" s="156">
        <v>0</v>
      </c>
      <c r="J509" s="156">
        <v>0</v>
      </c>
      <c r="K509" s="156">
        <v>101.91</v>
      </c>
      <c r="L509" s="156">
        <v>0</v>
      </c>
      <c r="M509" s="156">
        <v>0</v>
      </c>
      <c r="N509" s="156">
        <f t="shared" si="93"/>
        <v>101.91</v>
      </c>
      <c r="O509" s="156">
        <v>0</v>
      </c>
      <c r="P509" s="156">
        <v>0</v>
      </c>
      <c r="Q509" s="156">
        <v>0</v>
      </c>
      <c r="R509" s="156">
        <v>0</v>
      </c>
      <c r="S509" s="156">
        <v>0</v>
      </c>
      <c r="T509" s="156">
        <v>0</v>
      </c>
      <c r="U509" s="156">
        <v>0</v>
      </c>
      <c r="V509" s="156">
        <v>0</v>
      </c>
      <c r="W509" s="156">
        <v>0</v>
      </c>
      <c r="X509" s="156">
        <v>0</v>
      </c>
      <c r="Y509" s="156">
        <v>0</v>
      </c>
      <c r="Z509" s="156">
        <v>68.739999999999995</v>
      </c>
      <c r="AA509" s="156">
        <v>0</v>
      </c>
      <c r="AB509" s="156">
        <v>0</v>
      </c>
      <c r="AC509" s="156">
        <v>0</v>
      </c>
      <c r="AD509" s="156">
        <v>0</v>
      </c>
      <c r="AE509" s="156">
        <v>0</v>
      </c>
      <c r="AF509" s="156">
        <v>0</v>
      </c>
      <c r="AG509" s="156">
        <v>0</v>
      </c>
      <c r="AH509" s="156">
        <v>0</v>
      </c>
      <c r="AI509" s="156">
        <v>0</v>
      </c>
      <c r="AJ509" s="156">
        <v>0</v>
      </c>
      <c r="AK509" s="156">
        <v>0</v>
      </c>
      <c r="AL509" s="156">
        <v>454.58</v>
      </c>
      <c r="AM509" s="156">
        <v>-486.03</v>
      </c>
      <c r="AN509" s="156">
        <v>0</v>
      </c>
      <c r="AO509" s="156">
        <v>0</v>
      </c>
      <c r="AP509" s="156">
        <v>0</v>
      </c>
      <c r="AQ509" s="156">
        <v>0</v>
      </c>
      <c r="AR509" s="156">
        <v>0</v>
      </c>
      <c r="AS509" s="156">
        <v>0</v>
      </c>
      <c r="AT509" s="156">
        <f t="shared" si="94"/>
        <v>11318.079999999998</v>
      </c>
    </row>
    <row r="510" spans="1:46" ht="11.25" hidden="1" outlineLevel="3">
      <c r="A510" s="155" t="s">
        <v>152</v>
      </c>
      <c r="B510" s="155" t="s">
        <v>157</v>
      </c>
      <c r="C510" s="155" t="s">
        <v>133</v>
      </c>
      <c r="D510" s="156" t="s">
        <v>83</v>
      </c>
      <c r="E510" s="156" t="s">
        <v>139</v>
      </c>
      <c r="F510" s="157">
        <v>0</v>
      </c>
      <c r="G510" s="157">
        <v>68459</v>
      </c>
      <c r="H510" s="156">
        <v>8296.2000000000007</v>
      </c>
      <c r="I510" s="156">
        <v>0</v>
      </c>
      <c r="J510" s="156">
        <v>0</v>
      </c>
      <c r="K510" s="156">
        <v>80.77</v>
      </c>
      <c r="L510" s="156">
        <v>0</v>
      </c>
      <c r="M510" s="156">
        <v>0</v>
      </c>
      <c r="N510" s="156">
        <f t="shared" si="93"/>
        <v>80.77</v>
      </c>
      <c r="O510" s="156">
        <v>0</v>
      </c>
      <c r="P510" s="156">
        <v>0</v>
      </c>
      <c r="Q510" s="156">
        <v>0</v>
      </c>
      <c r="R510" s="156">
        <v>0</v>
      </c>
      <c r="S510" s="156">
        <v>0</v>
      </c>
      <c r="T510" s="156">
        <v>0</v>
      </c>
      <c r="U510" s="156">
        <v>0</v>
      </c>
      <c r="V510" s="156">
        <v>0</v>
      </c>
      <c r="W510" s="156">
        <v>0</v>
      </c>
      <c r="X510" s="156">
        <v>0</v>
      </c>
      <c r="Y510" s="156">
        <v>0</v>
      </c>
      <c r="Z510" s="156">
        <v>48.6</v>
      </c>
      <c r="AA510" s="156">
        <v>0</v>
      </c>
      <c r="AB510" s="156">
        <v>0</v>
      </c>
      <c r="AC510" s="156">
        <v>0</v>
      </c>
      <c r="AD510" s="156">
        <v>0</v>
      </c>
      <c r="AE510" s="156">
        <v>0</v>
      </c>
      <c r="AF510" s="156">
        <v>0</v>
      </c>
      <c r="AG510" s="156">
        <v>0</v>
      </c>
      <c r="AH510" s="156">
        <v>0</v>
      </c>
      <c r="AI510" s="156">
        <v>0</v>
      </c>
      <c r="AJ510" s="156">
        <v>0</v>
      </c>
      <c r="AK510" s="156">
        <v>0</v>
      </c>
      <c r="AL510" s="156">
        <v>0</v>
      </c>
      <c r="AM510" s="156">
        <v>-343.68</v>
      </c>
      <c r="AN510" s="156">
        <v>0</v>
      </c>
      <c r="AO510" s="156">
        <v>0</v>
      </c>
      <c r="AP510" s="156">
        <v>0</v>
      </c>
      <c r="AQ510" s="156">
        <v>0</v>
      </c>
      <c r="AR510" s="156">
        <v>0</v>
      </c>
      <c r="AS510" s="156">
        <v>0</v>
      </c>
      <c r="AT510" s="156">
        <f t="shared" si="94"/>
        <v>8081.8900000000012</v>
      </c>
    </row>
    <row r="511" spans="1:46" ht="11.25" hidden="1" outlineLevel="3">
      <c r="A511" s="155" t="s">
        <v>152</v>
      </c>
      <c r="B511" s="155" t="s">
        <v>137</v>
      </c>
      <c r="C511" s="155" t="s">
        <v>133</v>
      </c>
      <c r="D511" s="156" t="s">
        <v>83</v>
      </c>
      <c r="E511" s="156" t="s">
        <v>139</v>
      </c>
      <c r="F511" s="157">
        <v>0</v>
      </c>
      <c r="G511" s="157">
        <v>3042</v>
      </c>
      <c r="H511" s="156">
        <v>483.35</v>
      </c>
      <c r="I511" s="156">
        <v>0</v>
      </c>
      <c r="J511" s="156">
        <v>0</v>
      </c>
      <c r="K511" s="156">
        <v>1.76</v>
      </c>
      <c r="L511" s="156">
        <v>0</v>
      </c>
      <c r="M511" s="156">
        <v>0</v>
      </c>
      <c r="N511" s="156">
        <f t="shared" si="93"/>
        <v>1.76</v>
      </c>
      <c r="O511" s="156">
        <v>0</v>
      </c>
      <c r="P511" s="156">
        <v>0</v>
      </c>
      <c r="Q511" s="156">
        <v>0</v>
      </c>
      <c r="R511" s="156">
        <v>0</v>
      </c>
      <c r="S511" s="156">
        <v>0</v>
      </c>
      <c r="T511" s="156">
        <v>0</v>
      </c>
      <c r="U511" s="156">
        <v>0</v>
      </c>
      <c r="V511" s="156">
        <v>0</v>
      </c>
      <c r="W511" s="156">
        <v>0</v>
      </c>
      <c r="X511" s="156">
        <v>0</v>
      </c>
      <c r="Y511" s="156">
        <v>0</v>
      </c>
      <c r="Z511" s="156">
        <v>2.15</v>
      </c>
      <c r="AA511" s="156">
        <v>0</v>
      </c>
      <c r="AB511" s="156">
        <v>0</v>
      </c>
      <c r="AC511" s="156">
        <v>0</v>
      </c>
      <c r="AD511" s="156">
        <v>0</v>
      </c>
      <c r="AE511" s="156">
        <v>0</v>
      </c>
      <c r="AF511" s="156">
        <v>0</v>
      </c>
      <c r="AG511" s="156">
        <v>0</v>
      </c>
      <c r="AH511" s="156">
        <v>0</v>
      </c>
      <c r="AI511" s="156">
        <v>0</v>
      </c>
      <c r="AJ511" s="156">
        <v>0</v>
      </c>
      <c r="AK511" s="156">
        <v>0</v>
      </c>
      <c r="AL511" s="156">
        <v>0</v>
      </c>
      <c r="AM511" s="156">
        <v>-15.28</v>
      </c>
      <c r="AN511" s="156">
        <v>0</v>
      </c>
      <c r="AO511" s="156">
        <v>0</v>
      </c>
      <c r="AP511" s="156">
        <v>0</v>
      </c>
      <c r="AQ511" s="156">
        <v>0</v>
      </c>
      <c r="AR511" s="156">
        <v>0</v>
      </c>
      <c r="AS511" s="156">
        <v>0</v>
      </c>
      <c r="AT511" s="156">
        <f t="shared" si="94"/>
        <v>471.98</v>
      </c>
    </row>
    <row r="512" spans="1:46" ht="11.25" hidden="1" outlineLevel="3">
      <c r="A512" s="155" t="s">
        <v>152</v>
      </c>
      <c r="B512" s="155" t="s">
        <v>158</v>
      </c>
      <c r="C512" s="155" t="s">
        <v>133</v>
      </c>
      <c r="D512" s="156" t="s">
        <v>83</v>
      </c>
      <c r="E512" s="156" t="s">
        <v>139</v>
      </c>
      <c r="F512" s="157">
        <v>0</v>
      </c>
      <c r="G512" s="157">
        <v>4429</v>
      </c>
      <c r="H512" s="156">
        <v>607.72</v>
      </c>
      <c r="I512" s="156">
        <v>0</v>
      </c>
      <c r="J512" s="156">
        <v>0</v>
      </c>
      <c r="K512" s="156">
        <v>13.76</v>
      </c>
      <c r="L512" s="156">
        <v>0</v>
      </c>
      <c r="M512" s="156">
        <v>0</v>
      </c>
      <c r="N512" s="156">
        <f t="shared" si="93"/>
        <v>13.76</v>
      </c>
      <c r="O512" s="156">
        <v>0</v>
      </c>
      <c r="P512" s="156">
        <v>0</v>
      </c>
      <c r="Q512" s="156">
        <v>0</v>
      </c>
      <c r="R512" s="156">
        <v>0</v>
      </c>
      <c r="S512" s="156">
        <v>0</v>
      </c>
      <c r="T512" s="156">
        <v>0</v>
      </c>
      <c r="U512" s="156">
        <v>0</v>
      </c>
      <c r="V512" s="156">
        <v>0</v>
      </c>
      <c r="W512" s="156">
        <v>0</v>
      </c>
      <c r="X512" s="156">
        <v>0</v>
      </c>
      <c r="Y512" s="156">
        <v>0</v>
      </c>
      <c r="Z512" s="156">
        <v>3.14</v>
      </c>
      <c r="AA512" s="156">
        <v>0</v>
      </c>
      <c r="AB512" s="156">
        <v>0</v>
      </c>
      <c r="AC512" s="156">
        <v>0</v>
      </c>
      <c r="AD512" s="156">
        <v>0</v>
      </c>
      <c r="AE512" s="156">
        <v>0</v>
      </c>
      <c r="AF512" s="156">
        <v>0</v>
      </c>
      <c r="AG512" s="156">
        <v>0</v>
      </c>
      <c r="AH512" s="156">
        <v>0</v>
      </c>
      <c r="AI512" s="156">
        <v>0</v>
      </c>
      <c r="AJ512" s="156">
        <v>0</v>
      </c>
      <c r="AK512" s="156">
        <v>0</v>
      </c>
      <c r="AL512" s="156">
        <v>1.04</v>
      </c>
      <c r="AM512" s="156">
        <v>-22.23</v>
      </c>
      <c r="AN512" s="156">
        <v>0</v>
      </c>
      <c r="AO512" s="156">
        <v>0</v>
      </c>
      <c r="AP512" s="156">
        <v>0</v>
      </c>
      <c r="AQ512" s="156">
        <v>0</v>
      </c>
      <c r="AR512" s="156">
        <v>0</v>
      </c>
      <c r="AS512" s="156">
        <v>0</v>
      </c>
      <c r="AT512" s="156">
        <f t="shared" si="94"/>
        <v>602.39</v>
      </c>
    </row>
    <row r="513" spans="1:46" ht="11.25" hidden="1" outlineLevel="3">
      <c r="A513" s="155" t="s">
        <v>152</v>
      </c>
      <c r="B513" s="155" t="s">
        <v>160</v>
      </c>
      <c r="C513" s="155" t="s">
        <v>133</v>
      </c>
      <c r="D513" s="156" t="s">
        <v>83</v>
      </c>
      <c r="E513" s="156" t="s">
        <v>139</v>
      </c>
      <c r="F513" s="157">
        <v>0</v>
      </c>
      <c r="G513" s="157">
        <v>11067</v>
      </c>
      <c r="H513" s="156">
        <v>1422.28</v>
      </c>
      <c r="I513" s="156">
        <v>0</v>
      </c>
      <c r="J513" s="156">
        <v>0</v>
      </c>
      <c r="K513" s="156">
        <v>18.329999999999998</v>
      </c>
      <c r="L513" s="156">
        <v>0</v>
      </c>
      <c r="M513" s="156">
        <v>0</v>
      </c>
      <c r="N513" s="156">
        <f t="shared" si="93"/>
        <v>18.329999999999998</v>
      </c>
      <c r="O513" s="156">
        <v>0</v>
      </c>
      <c r="P513" s="156">
        <v>0</v>
      </c>
      <c r="Q513" s="156">
        <v>0</v>
      </c>
      <c r="R513" s="156">
        <v>0</v>
      </c>
      <c r="S513" s="156">
        <v>0</v>
      </c>
      <c r="T513" s="156">
        <v>0</v>
      </c>
      <c r="U513" s="156">
        <v>0</v>
      </c>
      <c r="V513" s="156">
        <v>0</v>
      </c>
      <c r="W513" s="156">
        <v>0</v>
      </c>
      <c r="X513" s="156">
        <v>0</v>
      </c>
      <c r="Y513" s="156">
        <v>0</v>
      </c>
      <c r="Z513" s="156">
        <v>7.86</v>
      </c>
      <c r="AA513" s="156">
        <v>0</v>
      </c>
      <c r="AB513" s="156">
        <v>0</v>
      </c>
      <c r="AC513" s="156">
        <v>0</v>
      </c>
      <c r="AD513" s="156">
        <v>0</v>
      </c>
      <c r="AE513" s="156">
        <v>0</v>
      </c>
      <c r="AF513" s="156">
        <v>0</v>
      </c>
      <c r="AG513" s="156">
        <v>0</v>
      </c>
      <c r="AH513" s="156">
        <v>0</v>
      </c>
      <c r="AI513" s="156">
        <v>0</v>
      </c>
      <c r="AJ513" s="156">
        <v>0</v>
      </c>
      <c r="AK513" s="156">
        <v>0</v>
      </c>
      <c r="AL513" s="156">
        <v>0</v>
      </c>
      <c r="AM513" s="156">
        <v>-55.56</v>
      </c>
      <c r="AN513" s="156">
        <v>0</v>
      </c>
      <c r="AO513" s="156">
        <v>0</v>
      </c>
      <c r="AP513" s="156">
        <v>0</v>
      </c>
      <c r="AQ513" s="156">
        <v>0</v>
      </c>
      <c r="AR513" s="156">
        <v>0</v>
      </c>
      <c r="AS513" s="156">
        <v>0</v>
      </c>
      <c r="AT513" s="156">
        <f t="shared" si="94"/>
        <v>1392.9099999999999</v>
      </c>
    </row>
    <row r="514" spans="1:46" ht="11.25" outlineLevel="2" collapsed="1">
      <c r="D514" s="156"/>
      <c r="E514" s="156" t="s">
        <v>219</v>
      </c>
      <c r="F514" s="157">
        <v>37</v>
      </c>
      <c r="G514" s="157">
        <f t="shared" ref="G514:AT514" si="95">SUBTOTAL(9,G504:G513)</f>
        <v>115781</v>
      </c>
      <c r="H514" s="156">
        <f t="shared" si="95"/>
        <v>14806.500000000002</v>
      </c>
      <c r="I514" s="156">
        <f t="shared" si="95"/>
        <v>0</v>
      </c>
      <c r="J514" s="156">
        <f t="shared" si="95"/>
        <v>0</v>
      </c>
      <c r="K514" s="156">
        <f t="shared" si="95"/>
        <v>176.21999999999997</v>
      </c>
      <c r="L514" s="156">
        <f t="shared" si="95"/>
        <v>0</v>
      </c>
      <c r="M514" s="156">
        <f t="shared" si="95"/>
        <v>-71.73</v>
      </c>
      <c r="N514" s="156">
        <f t="shared" si="95"/>
        <v>104.48999999999995</v>
      </c>
      <c r="O514" s="156">
        <f t="shared" si="95"/>
        <v>0</v>
      </c>
      <c r="P514" s="156">
        <f t="shared" si="95"/>
        <v>0</v>
      </c>
      <c r="Q514" s="156">
        <f t="shared" si="95"/>
        <v>-2.37</v>
      </c>
      <c r="R514" s="156">
        <f t="shared" si="95"/>
        <v>0</v>
      </c>
      <c r="S514" s="156">
        <f t="shared" si="95"/>
        <v>0</v>
      </c>
      <c r="T514" s="156">
        <f t="shared" si="95"/>
        <v>0</v>
      </c>
      <c r="U514" s="156">
        <f t="shared" si="95"/>
        <v>0</v>
      </c>
      <c r="V514" s="156">
        <f t="shared" si="95"/>
        <v>0</v>
      </c>
      <c r="W514" s="156">
        <f t="shared" si="95"/>
        <v>0</v>
      </c>
      <c r="X514" s="156">
        <f t="shared" si="95"/>
        <v>0</v>
      </c>
      <c r="Y514" s="156">
        <f t="shared" si="95"/>
        <v>0</v>
      </c>
      <c r="Z514" s="156">
        <f t="shared" si="95"/>
        <v>83.460000000000008</v>
      </c>
      <c r="AA514" s="156">
        <f t="shared" si="95"/>
        <v>0</v>
      </c>
      <c r="AB514" s="156">
        <f t="shared" si="95"/>
        <v>0</v>
      </c>
      <c r="AC514" s="156">
        <f t="shared" si="95"/>
        <v>0</v>
      </c>
      <c r="AD514" s="156">
        <f t="shared" si="95"/>
        <v>0</v>
      </c>
      <c r="AE514" s="156">
        <f t="shared" si="95"/>
        <v>0</v>
      </c>
      <c r="AF514" s="156">
        <f t="shared" si="95"/>
        <v>0</v>
      </c>
      <c r="AG514" s="156">
        <f t="shared" si="95"/>
        <v>0</v>
      </c>
      <c r="AH514" s="156">
        <f t="shared" si="95"/>
        <v>0</v>
      </c>
      <c r="AI514" s="156">
        <f t="shared" si="95"/>
        <v>0</v>
      </c>
      <c r="AJ514" s="156">
        <f t="shared" si="95"/>
        <v>0</v>
      </c>
      <c r="AK514" s="156">
        <f t="shared" si="95"/>
        <v>0</v>
      </c>
      <c r="AL514" s="156">
        <f t="shared" si="95"/>
        <v>8.559999999999981</v>
      </c>
      <c r="AM514" s="156">
        <f t="shared" si="95"/>
        <v>-590.29999999999995</v>
      </c>
      <c r="AN514" s="156">
        <f t="shared" si="95"/>
        <v>0</v>
      </c>
      <c r="AO514" s="156">
        <f t="shared" si="95"/>
        <v>-19.38</v>
      </c>
      <c r="AP514" s="156">
        <f t="shared" si="95"/>
        <v>0</v>
      </c>
      <c r="AQ514" s="156">
        <f t="shared" si="95"/>
        <v>0</v>
      </c>
      <c r="AR514" s="156">
        <f t="shared" si="95"/>
        <v>0</v>
      </c>
      <c r="AS514" s="156">
        <f t="shared" si="95"/>
        <v>0</v>
      </c>
      <c r="AT514" s="156">
        <f t="shared" si="95"/>
        <v>14382.4</v>
      </c>
    </row>
    <row r="515" spans="1:46" ht="11.25" hidden="1" outlineLevel="3">
      <c r="A515" s="155" t="s">
        <v>145</v>
      </c>
      <c r="B515" s="155" t="s">
        <v>146</v>
      </c>
      <c r="C515" s="155" t="s">
        <v>133</v>
      </c>
      <c r="D515" s="156" t="s">
        <v>83</v>
      </c>
      <c r="E515" s="156" t="s">
        <v>140</v>
      </c>
      <c r="F515" s="157">
        <v>0</v>
      </c>
      <c r="G515" s="157">
        <v>4880</v>
      </c>
      <c r="H515" s="156">
        <v>1189.92</v>
      </c>
      <c r="I515" s="156">
        <v>0</v>
      </c>
      <c r="J515" s="156">
        <v>0</v>
      </c>
      <c r="K515" s="156">
        <v>0</v>
      </c>
      <c r="L515" s="156">
        <v>0</v>
      </c>
      <c r="M515" s="156">
        <v>142.5</v>
      </c>
      <c r="N515" s="156">
        <f>J515+K515+L515+M515</f>
        <v>142.5</v>
      </c>
      <c r="O515" s="156">
        <v>0</v>
      </c>
      <c r="P515" s="156">
        <v>0</v>
      </c>
      <c r="Q515" s="156">
        <v>6.44</v>
      </c>
      <c r="R515" s="156">
        <v>0</v>
      </c>
      <c r="S515" s="156">
        <v>0</v>
      </c>
      <c r="T515" s="156">
        <v>0</v>
      </c>
      <c r="U515" s="156">
        <v>0</v>
      </c>
      <c r="V515" s="156">
        <v>0</v>
      </c>
      <c r="W515" s="156">
        <v>0</v>
      </c>
      <c r="X515" s="156">
        <v>0</v>
      </c>
      <c r="Y515" s="156">
        <v>0</v>
      </c>
      <c r="Z515" s="156">
        <v>0</v>
      </c>
      <c r="AA515" s="156">
        <v>0</v>
      </c>
      <c r="AB515" s="156">
        <v>0</v>
      </c>
      <c r="AC515" s="156">
        <v>0</v>
      </c>
      <c r="AD515" s="156">
        <v>0</v>
      </c>
      <c r="AE515" s="156">
        <v>0</v>
      </c>
      <c r="AF515" s="156">
        <v>0</v>
      </c>
      <c r="AG515" s="156">
        <v>0</v>
      </c>
      <c r="AH515" s="156">
        <v>0</v>
      </c>
      <c r="AI515" s="156">
        <v>0</v>
      </c>
      <c r="AJ515" s="156">
        <v>0</v>
      </c>
      <c r="AK515" s="156">
        <v>0</v>
      </c>
      <c r="AL515" s="156">
        <v>0</v>
      </c>
      <c r="AM515" s="156">
        <v>0</v>
      </c>
      <c r="AN515" s="156">
        <v>0</v>
      </c>
      <c r="AO515" s="156">
        <v>56.54</v>
      </c>
      <c r="AP515" s="156">
        <v>0</v>
      </c>
      <c r="AQ515" s="156">
        <v>0</v>
      </c>
      <c r="AR515" s="156">
        <v>0</v>
      </c>
      <c r="AS515" s="156">
        <v>0</v>
      </c>
      <c r="AT515" s="156">
        <f>H515+I515+N515+O515+P515+Q515+T515+X515+Y515+Z515+AA515+AB515+AM515+AO515</f>
        <v>1395.4</v>
      </c>
    </row>
    <row r="516" spans="1:46" ht="11.25" hidden="1" outlineLevel="3">
      <c r="A516" s="155" t="s">
        <v>152</v>
      </c>
      <c r="B516" s="155" t="s">
        <v>153</v>
      </c>
      <c r="C516" s="155" t="s">
        <v>133</v>
      </c>
      <c r="D516" s="156" t="s">
        <v>83</v>
      </c>
      <c r="E516" s="156" t="s">
        <v>140</v>
      </c>
      <c r="F516" s="157">
        <v>0</v>
      </c>
      <c r="G516" s="157">
        <v>151911</v>
      </c>
      <c r="H516" s="156">
        <v>11983.27</v>
      </c>
      <c r="I516" s="156">
        <v>0</v>
      </c>
      <c r="J516" s="156">
        <v>0</v>
      </c>
      <c r="K516" s="156">
        <v>268.47000000000003</v>
      </c>
      <c r="L516" s="156">
        <v>0</v>
      </c>
      <c r="M516" s="156">
        <v>0</v>
      </c>
      <c r="N516" s="156">
        <f>J516+K516+L516+M516</f>
        <v>268.47000000000003</v>
      </c>
      <c r="O516" s="156">
        <v>0</v>
      </c>
      <c r="P516" s="156">
        <v>0</v>
      </c>
      <c r="Q516" s="156">
        <v>0</v>
      </c>
      <c r="R516" s="156">
        <v>0</v>
      </c>
      <c r="S516" s="156">
        <v>0</v>
      </c>
      <c r="T516" s="156">
        <v>0</v>
      </c>
      <c r="U516" s="156">
        <v>0</v>
      </c>
      <c r="V516" s="156">
        <v>0</v>
      </c>
      <c r="W516" s="156">
        <v>0</v>
      </c>
      <c r="X516" s="156">
        <v>0</v>
      </c>
      <c r="Y516" s="156">
        <v>0</v>
      </c>
      <c r="Z516" s="156">
        <v>107.86</v>
      </c>
      <c r="AA516" s="156">
        <v>0</v>
      </c>
      <c r="AB516" s="156">
        <v>0</v>
      </c>
      <c r="AC516" s="156">
        <v>0</v>
      </c>
      <c r="AD516" s="156">
        <v>0</v>
      </c>
      <c r="AE516" s="156">
        <v>0</v>
      </c>
      <c r="AF516" s="156">
        <v>0</v>
      </c>
      <c r="AG516" s="156">
        <v>0</v>
      </c>
      <c r="AH516" s="156">
        <v>0</v>
      </c>
      <c r="AI516" s="156">
        <v>0</v>
      </c>
      <c r="AJ516" s="156">
        <v>0</v>
      </c>
      <c r="AK516" s="156">
        <v>0</v>
      </c>
      <c r="AL516" s="156">
        <v>0</v>
      </c>
      <c r="AM516" s="156">
        <v>-562.08000000000004</v>
      </c>
      <c r="AN516" s="156">
        <v>0</v>
      </c>
      <c r="AO516" s="156">
        <v>0</v>
      </c>
      <c r="AP516" s="156">
        <v>0</v>
      </c>
      <c r="AQ516" s="156">
        <v>0</v>
      </c>
      <c r="AR516" s="156">
        <v>0</v>
      </c>
      <c r="AS516" s="156">
        <v>0</v>
      </c>
      <c r="AT516" s="156">
        <f>H516+I516+N516+O516+P516+Q516+T516+X516+Y516+Z516+AA516+AB516+AM516+AO516</f>
        <v>11797.52</v>
      </c>
    </row>
    <row r="517" spans="1:46" ht="11.25" outlineLevel="2" collapsed="1">
      <c r="D517" s="156"/>
      <c r="E517" s="156" t="s">
        <v>220</v>
      </c>
      <c r="F517" s="157">
        <v>6</v>
      </c>
      <c r="G517" s="157">
        <f t="shared" ref="G517:AT517" si="96">SUBTOTAL(9,G515:G516)</f>
        <v>156791</v>
      </c>
      <c r="H517" s="156">
        <f t="shared" si="96"/>
        <v>13173.19</v>
      </c>
      <c r="I517" s="156">
        <f t="shared" si="96"/>
        <v>0</v>
      </c>
      <c r="J517" s="156">
        <f t="shared" si="96"/>
        <v>0</v>
      </c>
      <c r="K517" s="156">
        <f t="shared" si="96"/>
        <v>268.47000000000003</v>
      </c>
      <c r="L517" s="156">
        <f t="shared" si="96"/>
        <v>0</v>
      </c>
      <c r="M517" s="156">
        <f t="shared" si="96"/>
        <v>142.5</v>
      </c>
      <c r="N517" s="156">
        <f t="shared" si="96"/>
        <v>410.97</v>
      </c>
      <c r="O517" s="156">
        <f t="shared" si="96"/>
        <v>0</v>
      </c>
      <c r="P517" s="156">
        <f t="shared" si="96"/>
        <v>0</v>
      </c>
      <c r="Q517" s="156">
        <f t="shared" si="96"/>
        <v>6.44</v>
      </c>
      <c r="R517" s="156">
        <f t="shared" si="96"/>
        <v>0</v>
      </c>
      <c r="S517" s="156">
        <f t="shared" si="96"/>
        <v>0</v>
      </c>
      <c r="T517" s="156">
        <f t="shared" si="96"/>
        <v>0</v>
      </c>
      <c r="U517" s="156">
        <f t="shared" si="96"/>
        <v>0</v>
      </c>
      <c r="V517" s="156">
        <f t="shared" si="96"/>
        <v>0</v>
      </c>
      <c r="W517" s="156">
        <f t="shared" si="96"/>
        <v>0</v>
      </c>
      <c r="X517" s="156">
        <f t="shared" si="96"/>
        <v>0</v>
      </c>
      <c r="Y517" s="156">
        <f t="shared" si="96"/>
        <v>0</v>
      </c>
      <c r="Z517" s="156">
        <f t="shared" si="96"/>
        <v>107.86</v>
      </c>
      <c r="AA517" s="156">
        <f t="shared" si="96"/>
        <v>0</v>
      </c>
      <c r="AB517" s="156">
        <f t="shared" si="96"/>
        <v>0</v>
      </c>
      <c r="AC517" s="156">
        <f t="shared" si="96"/>
        <v>0</v>
      </c>
      <c r="AD517" s="156">
        <f t="shared" si="96"/>
        <v>0</v>
      </c>
      <c r="AE517" s="156">
        <f t="shared" si="96"/>
        <v>0</v>
      </c>
      <c r="AF517" s="156">
        <f t="shared" si="96"/>
        <v>0</v>
      </c>
      <c r="AG517" s="156">
        <f t="shared" si="96"/>
        <v>0</v>
      </c>
      <c r="AH517" s="156">
        <f t="shared" si="96"/>
        <v>0</v>
      </c>
      <c r="AI517" s="156">
        <f t="shared" si="96"/>
        <v>0</v>
      </c>
      <c r="AJ517" s="156">
        <f t="shared" si="96"/>
        <v>0</v>
      </c>
      <c r="AK517" s="156">
        <f t="shared" si="96"/>
        <v>0</v>
      </c>
      <c r="AL517" s="156">
        <f t="shared" si="96"/>
        <v>0</v>
      </c>
      <c r="AM517" s="156">
        <f t="shared" si="96"/>
        <v>-562.08000000000004</v>
      </c>
      <c r="AN517" s="156">
        <f t="shared" si="96"/>
        <v>0</v>
      </c>
      <c r="AO517" s="156">
        <f t="shared" si="96"/>
        <v>56.54</v>
      </c>
      <c r="AP517" s="156">
        <f t="shared" si="96"/>
        <v>0</v>
      </c>
      <c r="AQ517" s="156">
        <f t="shared" si="96"/>
        <v>0</v>
      </c>
      <c r="AR517" s="156">
        <f t="shared" si="96"/>
        <v>0</v>
      </c>
      <c r="AS517" s="156">
        <f t="shared" si="96"/>
        <v>0</v>
      </c>
      <c r="AT517" s="156">
        <f t="shared" si="96"/>
        <v>13192.92</v>
      </c>
    </row>
    <row r="518" spans="1:46" ht="11.25" hidden="1" outlineLevel="3">
      <c r="A518" s="155" t="s">
        <v>152</v>
      </c>
      <c r="B518" s="155" t="s">
        <v>153</v>
      </c>
      <c r="C518" s="155" t="s">
        <v>135</v>
      </c>
      <c r="D518" s="156" t="s">
        <v>83</v>
      </c>
      <c r="E518" s="156" t="s">
        <v>136</v>
      </c>
      <c r="F518" s="157">
        <v>0</v>
      </c>
      <c r="G518" s="157">
        <v>195</v>
      </c>
      <c r="H518" s="156">
        <v>47.37</v>
      </c>
      <c r="I518" s="156">
        <v>0</v>
      </c>
      <c r="J518" s="156">
        <v>0</v>
      </c>
      <c r="K518" s="156">
        <v>0.28000000000000003</v>
      </c>
      <c r="L518" s="156">
        <v>0</v>
      </c>
      <c r="M518" s="156">
        <v>0</v>
      </c>
      <c r="N518" s="156">
        <f>J518+K518+L518+M518</f>
        <v>0.28000000000000003</v>
      </c>
      <c r="O518" s="156">
        <v>0</v>
      </c>
      <c r="P518" s="156">
        <v>0</v>
      </c>
      <c r="Q518" s="156">
        <v>0</v>
      </c>
      <c r="R518" s="156">
        <v>0</v>
      </c>
      <c r="S518" s="156">
        <v>0</v>
      </c>
      <c r="T518" s="156">
        <v>0</v>
      </c>
      <c r="U518" s="156">
        <v>0</v>
      </c>
      <c r="V518" s="156">
        <v>0</v>
      </c>
      <c r="W518" s="156">
        <v>0</v>
      </c>
      <c r="X518" s="156">
        <v>0</v>
      </c>
      <c r="Y518" s="156">
        <v>0</v>
      </c>
      <c r="Z518" s="156">
        <v>0</v>
      </c>
      <c r="AA518" s="156">
        <v>0</v>
      </c>
      <c r="AB518" s="156">
        <v>0</v>
      </c>
      <c r="AC518" s="156">
        <v>0</v>
      </c>
      <c r="AD518" s="156">
        <v>0</v>
      </c>
      <c r="AE518" s="156">
        <v>0</v>
      </c>
      <c r="AF518" s="156">
        <v>0</v>
      </c>
      <c r="AG518" s="156">
        <v>0</v>
      </c>
      <c r="AH518" s="156">
        <v>0</v>
      </c>
      <c r="AI518" s="156">
        <v>0</v>
      </c>
      <c r="AJ518" s="156">
        <v>0</v>
      </c>
      <c r="AK518" s="156">
        <v>0</v>
      </c>
      <c r="AL518" s="156">
        <v>0</v>
      </c>
      <c r="AM518" s="156">
        <v>-2.14</v>
      </c>
      <c r="AN518" s="156">
        <v>0</v>
      </c>
      <c r="AO518" s="156">
        <v>0</v>
      </c>
      <c r="AP518" s="156">
        <v>0</v>
      </c>
      <c r="AQ518" s="156">
        <v>0</v>
      </c>
      <c r="AR518" s="156">
        <v>0</v>
      </c>
      <c r="AS518" s="156">
        <v>0</v>
      </c>
      <c r="AT518" s="156">
        <f>H518+I518+N518+O518+P518+Q518+T518+X518+Y518+Z518+AA518+AB518+AM518+AO518</f>
        <v>45.51</v>
      </c>
    </row>
    <row r="519" spans="1:46" ht="11.25" hidden="1" outlineLevel="3">
      <c r="A519" s="155" t="s">
        <v>152</v>
      </c>
      <c r="B519" s="155" t="s">
        <v>160</v>
      </c>
      <c r="C519" s="155" t="s">
        <v>135</v>
      </c>
      <c r="D519" s="156" t="s">
        <v>83</v>
      </c>
      <c r="E519" s="156" t="s">
        <v>136</v>
      </c>
      <c r="F519" s="157">
        <v>0</v>
      </c>
      <c r="G519" s="157">
        <v>58</v>
      </c>
      <c r="H519" s="156">
        <v>21.22</v>
      </c>
      <c r="I519" s="156">
        <v>0</v>
      </c>
      <c r="J519" s="156">
        <v>0</v>
      </c>
      <c r="K519" s="156">
        <v>0</v>
      </c>
      <c r="L519" s="156">
        <v>0</v>
      </c>
      <c r="M519" s="156">
        <v>0</v>
      </c>
      <c r="N519" s="156">
        <f>J519+K519+L519+M519</f>
        <v>0</v>
      </c>
      <c r="O519" s="156">
        <v>0</v>
      </c>
      <c r="P519" s="156">
        <v>0</v>
      </c>
      <c r="Q519" s="156">
        <v>0</v>
      </c>
      <c r="R519" s="156">
        <v>0</v>
      </c>
      <c r="S519" s="156">
        <v>0</v>
      </c>
      <c r="T519" s="156">
        <v>0</v>
      </c>
      <c r="U519" s="156">
        <v>0</v>
      </c>
      <c r="V519" s="156">
        <v>0</v>
      </c>
      <c r="W519" s="156">
        <v>0</v>
      </c>
      <c r="X519" s="156">
        <v>0</v>
      </c>
      <c r="Y519" s="156">
        <v>0</v>
      </c>
      <c r="Z519" s="156">
        <v>0</v>
      </c>
      <c r="AA519" s="156">
        <v>0</v>
      </c>
      <c r="AB519" s="156">
        <v>0</v>
      </c>
      <c r="AC519" s="156">
        <v>0</v>
      </c>
      <c r="AD519" s="156">
        <v>0</v>
      </c>
      <c r="AE519" s="156">
        <v>0</v>
      </c>
      <c r="AF519" s="156">
        <v>0</v>
      </c>
      <c r="AG519" s="156">
        <v>0</v>
      </c>
      <c r="AH519" s="156">
        <v>0</v>
      </c>
      <c r="AI519" s="156">
        <v>0</v>
      </c>
      <c r="AJ519" s="156">
        <v>0</v>
      </c>
      <c r="AK519" s="156">
        <v>0</v>
      </c>
      <c r="AL519" s="156">
        <v>0</v>
      </c>
      <c r="AM519" s="156">
        <v>-0.64</v>
      </c>
      <c r="AN519" s="156">
        <v>0</v>
      </c>
      <c r="AO519" s="156">
        <v>0</v>
      </c>
      <c r="AP519" s="156">
        <v>0</v>
      </c>
      <c r="AQ519" s="156">
        <v>0</v>
      </c>
      <c r="AR519" s="156">
        <v>0</v>
      </c>
      <c r="AS519" s="156">
        <v>0</v>
      </c>
      <c r="AT519" s="156">
        <f>H519+I519+N519+O519+P519+Q519+T519+X519+Y519+Z519+AA519+AB519+AM519+AO519</f>
        <v>20.58</v>
      </c>
    </row>
    <row r="520" spans="1:46" ht="11.25" outlineLevel="2" collapsed="1">
      <c r="D520" s="156"/>
      <c r="E520" s="156" t="s">
        <v>213</v>
      </c>
      <c r="F520" s="157">
        <v>0</v>
      </c>
      <c r="G520" s="157">
        <f t="shared" ref="G520:AT520" si="97">SUBTOTAL(9,G518:G519)</f>
        <v>253</v>
      </c>
      <c r="H520" s="156">
        <f t="shared" si="97"/>
        <v>68.59</v>
      </c>
      <c r="I520" s="156">
        <f t="shared" si="97"/>
        <v>0</v>
      </c>
      <c r="J520" s="156">
        <f t="shared" si="97"/>
        <v>0</v>
      </c>
      <c r="K520" s="156">
        <f t="shared" si="97"/>
        <v>0.28000000000000003</v>
      </c>
      <c r="L520" s="156">
        <f t="shared" si="97"/>
        <v>0</v>
      </c>
      <c r="M520" s="156">
        <f t="shared" si="97"/>
        <v>0</v>
      </c>
      <c r="N520" s="156">
        <f t="shared" si="97"/>
        <v>0.28000000000000003</v>
      </c>
      <c r="O520" s="156">
        <f t="shared" si="97"/>
        <v>0</v>
      </c>
      <c r="P520" s="156">
        <f t="shared" si="97"/>
        <v>0</v>
      </c>
      <c r="Q520" s="156">
        <f t="shared" si="97"/>
        <v>0</v>
      </c>
      <c r="R520" s="156">
        <f t="shared" si="97"/>
        <v>0</v>
      </c>
      <c r="S520" s="156">
        <f t="shared" si="97"/>
        <v>0</v>
      </c>
      <c r="T520" s="156">
        <f t="shared" si="97"/>
        <v>0</v>
      </c>
      <c r="U520" s="156">
        <f t="shared" si="97"/>
        <v>0</v>
      </c>
      <c r="V520" s="156">
        <f t="shared" si="97"/>
        <v>0</v>
      </c>
      <c r="W520" s="156">
        <f t="shared" si="97"/>
        <v>0</v>
      </c>
      <c r="X520" s="156">
        <f t="shared" si="97"/>
        <v>0</v>
      </c>
      <c r="Y520" s="156">
        <f t="shared" si="97"/>
        <v>0</v>
      </c>
      <c r="Z520" s="156">
        <f t="shared" si="97"/>
        <v>0</v>
      </c>
      <c r="AA520" s="156">
        <f t="shared" si="97"/>
        <v>0</v>
      </c>
      <c r="AB520" s="156">
        <f t="shared" si="97"/>
        <v>0</v>
      </c>
      <c r="AC520" s="156">
        <f t="shared" si="97"/>
        <v>0</v>
      </c>
      <c r="AD520" s="156">
        <f t="shared" si="97"/>
        <v>0</v>
      </c>
      <c r="AE520" s="156">
        <f t="shared" si="97"/>
        <v>0</v>
      </c>
      <c r="AF520" s="156">
        <f t="shared" si="97"/>
        <v>0</v>
      </c>
      <c r="AG520" s="156">
        <f t="shared" si="97"/>
        <v>0</v>
      </c>
      <c r="AH520" s="156">
        <f t="shared" si="97"/>
        <v>0</v>
      </c>
      <c r="AI520" s="156">
        <f t="shared" si="97"/>
        <v>0</v>
      </c>
      <c r="AJ520" s="156">
        <f t="shared" si="97"/>
        <v>0</v>
      </c>
      <c r="AK520" s="156">
        <f t="shared" si="97"/>
        <v>0</v>
      </c>
      <c r="AL520" s="156">
        <f t="shared" si="97"/>
        <v>0</v>
      </c>
      <c r="AM520" s="156">
        <f t="shared" si="97"/>
        <v>-2.7800000000000002</v>
      </c>
      <c r="AN520" s="156">
        <f t="shared" si="97"/>
        <v>0</v>
      </c>
      <c r="AO520" s="156">
        <f t="shared" si="97"/>
        <v>0</v>
      </c>
      <c r="AP520" s="156">
        <f t="shared" si="97"/>
        <v>0</v>
      </c>
      <c r="AQ520" s="156">
        <f t="shared" si="97"/>
        <v>0</v>
      </c>
      <c r="AR520" s="156">
        <f t="shared" si="97"/>
        <v>0</v>
      </c>
      <c r="AS520" s="156">
        <f t="shared" si="97"/>
        <v>0</v>
      </c>
      <c r="AT520" s="156">
        <f t="shared" si="97"/>
        <v>66.09</v>
      </c>
    </row>
    <row r="521" spans="1:46" ht="11.25" outlineLevel="1">
      <c r="D521" s="159" t="s">
        <v>238</v>
      </c>
      <c r="E521" s="159"/>
      <c r="F521" s="160">
        <f>F514+F517+F520</f>
        <v>43</v>
      </c>
      <c r="G521" s="160">
        <f t="shared" ref="G521:AT521" si="98">SUBTOTAL(9,G504:G519)</f>
        <v>272825</v>
      </c>
      <c r="H521" s="159">
        <f t="shared" si="98"/>
        <v>28048.280000000002</v>
      </c>
      <c r="I521" s="159">
        <f t="shared" si="98"/>
        <v>0</v>
      </c>
      <c r="J521" s="159">
        <f t="shared" si="98"/>
        <v>0</v>
      </c>
      <c r="K521" s="159">
        <f t="shared" si="98"/>
        <v>444.96999999999997</v>
      </c>
      <c r="L521" s="159">
        <f t="shared" si="98"/>
        <v>0</v>
      </c>
      <c r="M521" s="159">
        <f t="shared" si="98"/>
        <v>70.77</v>
      </c>
      <c r="N521" s="159">
        <f t="shared" si="98"/>
        <v>515.74</v>
      </c>
      <c r="O521" s="159">
        <f t="shared" si="98"/>
        <v>0</v>
      </c>
      <c r="P521" s="159">
        <f t="shared" si="98"/>
        <v>0</v>
      </c>
      <c r="Q521" s="159">
        <f t="shared" si="98"/>
        <v>4.07</v>
      </c>
      <c r="R521" s="159">
        <f t="shared" si="98"/>
        <v>0</v>
      </c>
      <c r="S521" s="159">
        <f t="shared" si="98"/>
        <v>0</v>
      </c>
      <c r="T521" s="159">
        <f t="shared" si="98"/>
        <v>0</v>
      </c>
      <c r="U521" s="159">
        <f t="shared" si="98"/>
        <v>0</v>
      </c>
      <c r="V521" s="159">
        <f t="shared" si="98"/>
        <v>0</v>
      </c>
      <c r="W521" s="159">
        <f t="shared" si="98"/>
        <v>0</v>
      </c>
      <c r="X521" s="159">
        <f t="shared" si="98"/>
        <v>0</v>
      </c>
      <c r="Y521" s="159">
        <f t="shared" si="98"/>
        <v>0</v>
      </c>
      <c r="Z521" s="159">
        <f t="shared" si="98"/>
        <v>191.32</v>
      </c>
      <c r="AA521" s="159">
        <f t="shared" si="98"/>
        <v>0</v>
      </c>
      <c r="AB521" s="159">
        <f t="shared" si="98"/>
        <v>0</v>
      </c>
      <c r="AC521" s="159">
        <f t="shared" si="98"/>
        <v>0</v>
      </c>
      <c r="AD521" s="159">
        <f t="shared" si="98"/>
        <v>0</v>
      </c>
      <c r="AE521" s="159">
        <f t="shared" si="98"/>
        <v>0</v>
      </c>
      <c r="AF521" s="159">
        <f t="shared" si="98"/>
        <v>0</v>
      </c>
      <c r="AG521" s="159">
        <f t="shared" si="98"/>
        <v>0</v>
      </c>
      <c r="AH521" s="159">
        <f t="shared" si="98"/>
        <v>0</v>
      </c>
      <c r="AI521" s="159">
        <f t="shared" si="98"/>
        <v>0</v>
      </c>
      <c r="AJ521" s="159">
        <f t="shared" si="98"/>
        <v>0</v>
      </c>
      <c r="AK521" s="159">
        <f t="shared" si="98"/>
        <v>0</v>
      </c>
      <c r="AL521" s="159">
        <f t="shared" si="98"/>
        <v>8.559999999999981</v>
      </c>
      <c r="AM521" s="159">
        <f t="shared" si="98"/>
        <v>-1155.1600000000003</v>
      </c>
      <c r="AN521" s="159">
        <f t="shared" si="98"/>
        <v>0</v>
      </c>
      <c r="AO521" s="159">
        <f t="shared" si="98"/>
        <v>37.159999999999997</v>
      </c>
      <c r="AP521" s="159">
        <f t="shared" si="98"/>
        <v>0</v>
      </c>
      <c r="AQ521" s="159">
        <f t="shared" si="98"/>
        <v>0</v>
      </c>
      <c r="AR521" s="159">
        <f t="shared" si="98"/>
        <v>0</v>
      </c>
      <c r="AS521" s="159">
        <f t="shared" si="98"/>
        <v>0</v>
      </c>
      <c r="AT521" s="159">
        <f t="shared" si="98"/>
        <v>27641.41</v>
      </c>
    </row>
    <row r="522" spans="1:46" ht="11.25" hidden="1" outlineLevel="3">
      <c r="A522" s="155" t="s">
        <v>145</v>
      </c>
      <c r="B522" s="155" t="s">
        <v>146</v>
      </c>
      <c r="C522" s="155" t="s">
        <v>133</v>
      </c>
      <c r="D522" s="156" t="s">
        <v>191</v>
      </c>
      <c r="E522" s="156" t="s">
        <v>192</v>
      </c>
      <c r="F522" s="157">
        <v>0</v>
      </c>
      <c r="G522" s="157">
        <v>782814</v>
      </c>
      <c r="H522" s="156">
        <v>22961.86</v>
      </c>
      <c r="I522" s="156">
        <v>0</v>
      </c>
      <c r="J522" s="156">
        <v>16807.02</v>
      </c>
      <c r="K522" s="156">
        <v>0</v>
      </c>
      <c r="L522" s="156">
        <v>0</v>
      </c>
      <c r="M522" s="156">
        <v>0</v>
      </c>
      <c r="N522" s="156">
        <f>J522+K522+L522+M522</f>
        <v>16807.02</v>
      </c>
      <c r="O522" s="156">
        <v>0</v>
      </c>
      <c r="P522" s="156">
        <v>0</v>
      </c>
      <c r="Q522" s="156">
        <v>0</v>
      </c>
      <c r="R522" s="156">
        <v>0</v>
      </c>
      <c r="S522" s="156">
        <v>0</v>
      </c>
      <c r="T522" s="156">
        <v>0</v>
      </c>
      <c r="U522" s="156">
        <v>0</v>
      </c>
      <c r="V522" s="156">
        <v>0</v>
      </c>
      <c r="W522" s="156">
        <v>0</v>
      </c>
      <c r="X522" s="156">
        <v>0</v>
      </c>
      <c r="Y522" s="156">
        <v>0</v>
      </c>
      <c r="Z522" s="156">
        <v>0</v>
      </c>
      <c r="AA522" s="156">
        <v>0</v>
      </c>
      <c r="AB522" s="156">
        <v>0</v>
      </c>
      <c r="AC522" s="156">
        <v>0</v>
      </c>
      <c r="AD522" s="156">
        <v>0</v>
      </c>
      <c r="AE522" s="156">
        <v>0</v>
      </c>
      <c r="AF522" s="156">
        <v>0</v>
      </c>
      <c r="AG522" s="156">
        <v>0</v>
      </c>
      <c r="AH522" s="156">
        <v>0</v>
      </c>
      <c r="AI522" s="156">
        <v>0</v>
      </c>
      <c r="AJ522" s="156">
        <v>0</v>
      </c>
      <c r="AK522" s="156">
        <v>0</v>
      </c>
      <c r="AL522" s="156">
        <v>0</v>
      </c>
      <c r="AM522" s="156">
        <v>0</v>
      </c>
      <c r="AN522" s="156">
        <v>0</v>
      </c>
      <c r="AO522" s="156">
        <v>0</v>
      </c>
      <c r="AP522" s="156">
        <v>0</v>
      </c>
      <c r="AQ522" s="156">
        <v>0</v>
      </c>
      <c r="AR522" s="156">
        <v>0</v>
      </c>
      <c r="AS522" s="156">
        <v>0</v>
      </c>
      <c r="AT522" s="156">
        <f>H522+I522+N522+O522+P522+Q522+T522+X522+Y522+Z522+AA522+AB522+AM522+AO522</f>
        <v>39768.880000000005</v>
      </c>
    </row>
    <row r="523" spans="1:46" ht="11.25" outlineLevel="2" collapsed="1">
      <c r="D523" s="156"/>
      <c r="E523" s="156" t="s">
        <v>239</v>
      </c>
      <c r="F523" s="157">
        <v>1</v>
      </c>
      <c r="G523" s="157">
        <f t="shared" ref="G523:AT523" si="99">SUBTOTAL(9,G522:G522)</f>
        <v>782814</v>
      </c>
      <c r="H523" s="156">
        <f t="shared" si="99"/>
        <v>22961.86</v>
      </c>
      <c r="I523" s="156">
        <f t="shared" si="99"/>
        <v>0</v>
      </c>
      <c r="J523" s="156">
        <f t="shared" si="99"/>
        <v>16807.02</v>
      </c>
      <c r="K523" s="156">
        <f t="shared" si="99"/>
        <v>0</v>
      </c>
      <c r="L523" s="156">
        <f t="shared" si="99"/>
        <v>0</v>
      </c>
      <c r="M523" s="156">
        <f t="shared" si="99"/>
        <v>0</v>
      </c>
      <c r="N523" s="156">
        <f t="shared" si="99"/>
        <v>16807.02</v>
      </c>
      <c r="O523" s="156">
        <f t="shared" si="99"/>
        <v>0</v>
      </c>
      <c r="P523" s="156">
        <f t="shared" si="99"/>
        <v>0</v>
      </c>
      <c r="Q523" s="156">
        <f t="shared" si="99"/>
        <v>0</v>
      </c>
      <c r="R523" s="156">
        <f t="shared" si="99"/>
        <v>0</v>
      </c>
      <c r="S523" s="156">
        <f t="shared" si="99"/>
        <v>0</v>
      </c>
      <c r="T523" s="156">
        <f t="shared" si="99"/>
        <v>0</v>
      </c>
      <c r="U523" s="156">
        <f t="shared" si="99"/>
        <v>0</v>
      </c>
      <c r="V523" s="156">
        <f t="shared" si="99"/>
        <v>0</v>
      </c>
      <c r="W523" s="156">
        <f t="shared" si="99"/>
        <v>0</v>
      </c>
      <c r="X523" s="156">
        <f t="shared" si="99"/>
        <v>0</v>
      </c>
      <c r="Y523" s="156">
        <f t="shared" si="99"/>
        <v>0</v>
      </c>
      <c r="Z523" s="156">
        <f t="shared" si="99"/>
        <v>0</v>
      </c>
      <c r="AA523" s="156">
        <f t="shared" si="99"/>
        <v>0</v>
      </c>
      <c r="AB523" s="156">
        <f t="shared" si="99"/>
        <v>0</v>
      </c>
      <c r="AC523" s="156">
        <f t="shared" si="99"/>
        <v>0</v>
      </c>
      <c r="AD523" s="156">
        <f t="shared" si="99"/>
        <v>0</v>
      </c>
      <c r="AE523" s="156">
        <f t="shared" si="99"/>
        <v>0</v>
      </c>
      <c r="AF523" s="156">
        <f t="shared" si="99"/>
        <v>0</v>
      </c>
      <c r="AG523" s="156">
        <f t="shared" si="99"/>
        <v>0</v>
      </c>
      <c r="AH523" s="156">
        <f t="shared" si="99"/>
        <v>0</v>
      </c>
      <c r="AI523" s="156">
        <f t="shared" si="99"/>
        <v>0</v>
      </c>
      <c r="AJ523" s="156">
        <f t="shared" si="99"/>
        <v>0</v>
      </c>
      <c r="AK523" s="156">
        <f t="shared" si="99"/>
        <v>0</v>
      </c>
      <c r="AL523" s="156">
        <f t="shared" si="99"/>
        <v>0</v>
      </c>
      <c r="AM523" s="156">
        <f t="shared" si="99"/>
        <v>0</v>
      </c>
      <c r="AN523" s="156">
        <f t="shared" si="99"/>
        <v>0</v>
      </c>
      <c r="AO523" s="156">
        <f t="shared" si="99"/>
        <v>0</v>
      </c>
      <c r="AP523" s="156">
        <f t="shared" si="99"/>
        <v>0</v>
      </c>
      <c r="AQ523" s="156">
        <f t="shared" si="99"/>
        <v>0</v>
      </c>
      <c r="AR523" s="156">
        <f t="shared" si="99"/>
        <v>0</v>
      </c>
      <c r="AS523" s="156">
        <f t="shared" si="99"/>
        <v>0</v>
      </c>
      <c r="AT523" s="156">
        <f t="shared" si="99"/>
        <v>39768.880000000005</v>
      </c>
    </row>
    <row r="524" spans="1:46" ht="11.25" hidden="1" outlineLevel="3">
      <c r="A524" s="155" t="s">
        <v>152</v>
      </c>
      <c r="B524" s="155" t="s">
        <v>154</v>
      </c>
      <c r="C524" s="155" t="s">
        <v>133</v>
      </c>
      <c r="D524" s="156" t="s">
        <v>191</v>
      </c>
      <c r="E524" s="156" t="s">
        <v>196</v>
      </c>
      <c r="F524" s="157">
        <v>0</v>
      </c>
      <c r="G524" s="157">
        <v>804194</v>
      </c>
      <c r="H524" s="156">
        <v>22420.83</v>
      </c>
      <c r="I524" s="156">
        <v>0</v>
      </c>
      <c r="J524" s="156">
        <v>17266.05</v>
      </c>
      <c r="K524" s="156">
        <v>0</v>
      </c>
      <c r="L524" s="156">
        <v>0</v>
      </c>
      <c r="M524" s="156">
        <v>0</v>
      </c>
      <c r="N524" s="156">
        <f>J524+K524+L524+M524</f>
        <v>17266.05</v>
      </c>
      <c r="O524" s="156">
        <v>0</v>
      </c>
      <c r="P524" s="156">
        <v>0</v>
      </c>
      <c r="Q524" s="156">
        <v>0</v>
      </c>
      <c r="R524" s="156">
        <v>0</v>
      </c>
      <c r="S524" s="156">
        <v>0</v>
      </c>
      <c r="T524" s="156">
        <v>0</v>
      </c>
      <c r="U524" s="156">
        <v>0</v>
      </c>
      <c r="V524" s="156">
        <v>0</v>
      </c>
      <c r="W524" s="156">
        <v>0</v>
      </c>
      <c r="X524" s="156">
        <v>0</v>
      </c>
      <c r="Y524" s="156">
        <v>0</v>
      </c>
      <c r="Z524" s="156">
        <v>0</v>
      </c>
      <c r="AA524" s="156">
        <v>0</v>
      </c>
      <c r="AB524" s="156">
        <v>0</v>
      </c>
      <c r="AC524" s="156">
        <v>0</v>
      </c>
      <c r="AD524" s="156">
        <v>0</v>
      </c>
      <c r="AE524" s="156">
        <v>0</v>
      </c>
      <c r="AF524" s="156">
        <v>0</v>
      </c>
      <c r="AG524" s="156">
        <v>0</v>
      </c>
      <c r="AH524" s="156">
        <v>0</v>
      </c>
      <c r="AI524" s="156">
        <v>0</v>
      </c>
      <c r="AJ524" s="156">
        <v>0</v>
      </c>
      <c r="AK524" s="156">
        <v>0</v>
      </c>
      <c r="AL524" s="156">
        <v>0</v>
      </c>
      <c r="AM524" s="156">
        <v>0</v>
      </c>
      <c r="AN524" s="156">
        <v>0</v>
      </c>
      <c r="AO524" s="156">
        <v>0</v>
      </c>
      <c r="AP524" s="156">
        <v>0</v>
      </c>
      <c r="AQ524" s="156">
        <v>0</v>
      </c>
      <c r="AR524" s="156">
        <v>0</v>
      </c>
      <c r="AS524" s="156">
        <v>0</v>
      </c>
      <c r="AT524" s="156">
        <f>H524+I524+N524+O524+P524+Q524+T524+X524+Y524+Z524+AA524+AB524+AM524+AO524</f>
        <v>39686.880000000005</v>
      </c>
    </row>
    <row r="525" spans="1:46" ht="11.25" outlineLevel="2" collapsed="1">
      <c r="D525" s="156"/>
      <c r="E525" s="156" t="s">
        <v>240</v>
      </c>
      <c r="F525" s="157">
        <v>1</v>
      </c>
      <c r="G525" s="157">
        <f t="shared" ref="G525:AT525" si="100">SUBTOTAL(9,G524:G524)</f>
        <v>804194</v>
      </c>
      <c r="H525" s="156">
        <f t="shared" si="100"/>
        <v>22420.83</v>
      </c>
      <c r="I525" s="156">
        <f t="shared" si="100"/>
        <v>0</v>
      </c>
      <c r="J525" s="156">
        <f t="shared" si="100"/>
        <v>17266.05</v>
      </c>
      <c r="K525" s="156">
        <f t="shared" si="100"/>
        <v>0</v>
      </c>
      <c r="L525" s="156">
        <f t="shared" si="100"/>
        <v>0</v>
      </c>
      <c r="M525" s="156">
        <f t="shared" si="100"/>
        <v>0</v>
      </c>
      <c r="N525" s="156">
        <f t="shared" si="100"/>
        <v>17266.05</v>
      </c>
      <c r="O525" s="156">
        <f t="shared" si="100"/>
        <v>0</v>
      </c>
      <c r="P525" s="156">
        <f t="shared" si="100"/>
        <v>0</v>
      </c>
      <c r="Q525" s="156">
        <f t="shared" si="100"/>
        <v>0</v>
      </c>
      <c r="R525" s="156">
        <f t="shared" si="100"/>
        <v>0</v>
      </c>
      <c r="S525" s="156">
        <f t="shared" si="100"/>
        <v>0</v>
      </c>
      <c r="T525" s="156">
        <f t="shared" si="100"/>
        <v>0</v>
      </c>
      <c r="U525" s="156">
        <f t="shared" si="100"/>
        <v>0</v>
      </c>
      <c r="V525" s="156">
        <f t="shared" si="100"/>
        <v>0</v>
      </c>
      <c r="W525" s="156">
        <f t="shared" si="100"/>
        <v>0</v>
      </c>
      <c r="X525" s="156">
        <f t="shared" si="100"/>
        <v>0</v>
      </c>
      <c r="Y525" s="156">
        <f t="shared" si="100"/>
        <v>0</v>
      </c>
      <c r="Z525" s="156">
        <f t="shared" si="100"/>
        <v>0</v>
      </c>
      <c r="AA525" s="156">
        <f t="shared" si="100"/>
        <v>0</v>
      </c>
      <c r="AB525" s="156">
        <f t="shared" si="100"/>
        <v>0</v>
      </c>
      <c r="AC525" s="156">
        <f t="shared" si="100"/>
        <v>0</v>
      </c>
      <c r="AD525" s="156">
        <f t="shared" si="100"/>
        <v>0</v>
      </c>
      <c r="AE525" s="156">
        <f t="shared" si="100"/>
        <v>0</v>
      </c>
      <c r="AF525" s="156">
        <f t="shared" si="100"/>
        <v>0</v>
      </c>
      <c r="AG525" s="156">
        <f t="shared" si="100"/>
        <v>0</v>
      </c>
      <c r="AH525" s="156">
        <f t="shared" si="100"/>
        <v>0</v>
      </c>
      <c r="AI525" s="156">
        <f t="shared" si="100"/>
        <v>0</v>
      </c>
      <c r="AJ525" s="156">
        <f t="shared" si="100"/>
        <v>0</v>
      </c>
      <c r="AK525" s="156">
        <f t="shared" si="100"/>
        <v>0</v>
      </c>
      <c r="AL525" s="156">
        <f t="shared" si="100"/>
        <v>0</v>
      </c>
      <c r="AM525" s="156">
        <f t="shared" si="100"/>
        <v>0</v>
      </c>
      <c r="AN525" s="156">
        <f t="shared" si="100"/>
        <v>0</v>
      </c>
      <c r="AO525" s="156">
        <f t="shared" si="100"/>
        <v>0</v>
      </c>
      <c r="AP525" s="156">
        <f t="shared" si="100"/>
        <v>0</v>
      </c>
      <c r="AQ525" s="156">
        <f t="shared" si="100"/>
        <v>0</v>
      </c>
      <c r="AR525" s="156">
        <f t="shared" si="100"/>
        <v>0</v>
      </c>
      <c r="AS525" s="156">
        <f t="shared" si="100"/>
        <v>0</v>
      </c>
      <c r="AT525" s="156">
        <f t="shared" si="100"/>
        <v>39686.880000000005</v>
      </c>
    </row>
    <row r="526" spans="1:46" ht="11.25" hidden="1" outlineLevel="3">
      <c r="A526" s="155" t="s">
        <v>152</v>
      </c>
      <c r="B526" s="155" t="s">
        <v>153</v>
      </c>
      <c r="C526" s="155" t="s">
        <v>133</v>
      </c>
      <c r="D526" s="156" t="s">
        <v>191</v>
      </c>
      <c r="E526" s="156" t="s">
        <v>197</v>
      </c>
      <c r="F526" s="157">
        <v>0</v>
      </c>
      <c r="G526" s="157">
        <v>18994761</v>
      </c>
      <c r="H526" s="156">
        <v>507399.38</v>
      </c>
      <c r="I526" s="156">
        <v>0</v>
      </c>
      <c r="J526" s="156">
        <v>407817.52</v>
      </c>
      <c r="K526" s="156">
        <v>0</v>
      </c>
      <c r="L526" s="156">
        <v>0</v>
      </c>
      <c r="M526" s="156">
        <v>0</v>
      </c>
      <c r="N526" s="156">
        <f>J526+K526+L526+M526</f>
        <v>407817.52</v>
      </c>
      <c r="O526" s="156">
        <v>0</v>
      </c>
      <c r="P526" s="156">
        <v>0</v>
      </c>
      <c r="Q526" s="156">
        <v>0</v>
      </c>
      <c r="R526" s="156">
        <v>0</v>
      </c>
      <c r="S526" s="156">
        <v>0</v>
      </c>
      <c r="T526" s="156">
        <v>0</v>
      </c>
      <c r="U526" s="156">
        <v>0</v>
      </c>
      <c r="V526" s="156">
        <v>0</v>
      </c>
      <c r="W526" s="156">
        <v>0</v>
      </c>
      <c r="X526" s="156">
        <v>0</v>
      </c>
      <c r="Y526" s="156">
        <v>0</v>
      </c>
      <c r="Z526" s="156">
        <v>0</v>
      </c>
      <c r="AA526" s="156">
        <v>0</v>
      </c>
      <c r="AB526" s="156">
        <v>0</v>
      </c>
      <c r="AC526" s="156">
        <v>0</v>
      </c>
      <c r="AD526" s="156">
        <v>0</v>
      </c>
      <c r="AE526" s="156">
        <v>0</v>
      </c>
      <c r="AF526" s="156">
        <v>0</v>
      </c>
      <c r="AG526" s="156">
        <v>0</v>
      </c>
      <c r="AH526" s="156">
        <v>0</v>
      </c>
      <c r="AI526" s="156">
        <v>0</v>
      </c>
      <c r="AJ526" s="156">
        <v>0</v>
      </c>
      <c r="AK526" s="156">
        <v>0</v>
      </c>
      <c r="AL526" s="156">
        <v>0</v>
      </c>
      <c r="AM526" s="156">
        <v>0</v>
      </c>
      <c r="AN526" s="156">
        <v>0</v>
      </c>
      <c r="AO526" s="156">
        <v>0</v>
      </c>
      <c r="AP526" s="156">
        <v>0</v>
      </c>
      <c r="AQ526" s="156">
        <v>0</v>
      </c>
      <c r="AR526" s="156">
        <v>0</v>
      </c>
      <c r="AS526" s="156">
        <v>0</v>
      </c>
      <c r="AT526" s="156">
        <f>H526+I526+N526+O526+P526+Q526+T526+X526+Y526+Z526+AA526+AB526+AM526+AO526</f>
        <v>915216.9</v>
      </c>
    </row>
    <row r="527" spans="1:46" ht="11.25" outlineLevel="2" collapsed="1">
      <c r="D527" s="156"/>
      <c r="E527" s="156" t="s">
        <v>241</v>
      </c>
      <c r="F527" s="157">
        <v>1</v>
      </c>
      <c r="G527" s="157">
        <f t="shared" ref="G527:AT527" si="101">SUBTOTAL(9,G526:G526)</f>
        <v>18994761</v>
      </c>
      <c r="H527" s="156">
        <f t="shared" si="101"/>
        <v>507399.38</v>
      </c>
      <c r="I527" s="156">
        <f t="shared" si="101"/>
        <v>0</v>
      </c>
      <c r="J527" s="156">
        <f t="shared" si="101"/>
        <v>407817.52</v>
      </c>
      <c r="K527" s="156">
        <f t="shared" si="101"/>
        <v>0</v>
      </c>
      <c r="L527" s="156">
        <f t="shared" si="101"/>
        <v>0</v>
      </c>
      <c r="M527" s="156">
        <f t="shared" si="101"/>
        <v>0</v>
      </c>
      <c r="N527" s="156">
        <f t="shared" si="101"/>
        <v>407817.52</v>
      </c>
      <c r="O527" s="156">
        <f t="shared" si="101"/>
        <v>0</v>
      </c>
      <c r="P527" s="156">
        <f t="shared" si="101"/>
        <v>0</v>
      </c>
      <c r="Q527" s="156">
        <f t="shared" si="101"/>
        <v>0</v>
      </c>
      <c r="R527" s="156">
        <f t="shared" si="101"/>
        <v>0</v>
      </c>
      <c r="S527" s="156">
        <f t="shared" si="101"/>
        <v>0</v>
      </c>
      <c r="T527" s="156">
        <f t="shared" si="101"/>
        <v>0</v>
      </c>
      <c r="U527" s="156">
        <f t="shared" si="101"/>
        <v>0</v>
      </c>
      <c r="V527" s="156">
        <f t="shared" si="101"/>
        <v>0</v>
      </c>
      <c r="W527" s="156">
        <f t="shared" si="101"/>
        <v>0</v>
      </c>
      <c r="X527" s="156">
        <f t="shared" si="101"/>
        <v>0</v>
      </c>
      <c r="Y527" s="156">
        <f t="shared" si="101"/>
        <v>0</v>
      </c>
      <c r="Z527" s="156">
        <f t="shared" si="101"/>
        <v>0</v>
      </c>
      <c r="AA527" s="156">
        <f t="shared" si="101"/>
        <v>0</v>
      </c>
      <c r="AB527" s="156">
        <f t="shared" si="101"/>
        <v>0</v>
      </c>
      <c r="AC527" s="156">
        <f t="shared" si="101"/>
        <v>0</v>
      </c>
      <c r="AD527" s="156">
        <f t="shared" si="101"/>
        <v>0</v>
      </c>
      <c r="AE527" s="156">
        <f t="shared" si="101"/>
        <v>0</v>
      </c>
      <c r="AF527" s="156">
        <f t="shared" si="101"/>
        <v>0</v>
      </c>
      <c r="AG527" s="156">
        <f t="shared" si="101"/>
        <v>0</v>
      </c>
      <c r="AH527" s="156">
        <f t="shared" si="101"/>
        <v>0</v>
      </c>
      <c r="AI527" s="156">
        <f t="shared" si="101"/>
        <v>0</v>
      </c>
      <c r="AJ527" s="156">
        <f t="shared" si="101"/>
        <v>0</v>
      </c>
      <c r="AK527" s="156">
        <f t="shared" si="101"/>
        <v>0</v>
      </c>
      <c r="AL527" s="156">
        <f t="shared" si="101"/>
        <v>0</v>
      </c>
      <c r="AM527" s="156">
        <f t="shared" si="101"/>
        <v>0</v>
      </c>
      <c r="AN527" s="156">
        <f t="shared" si="101"/>
        <v>0</v>
      </c>
      <c r="AO527" s="156">
        <f t="shared" si="101"/>
        <v>0</v>
      </c>
      <c r="AP527" s="156">
        <f t="shared" si="101"/>
        <v>0</v>
      </c>
      <c r="AQ527" s="156">
        <f t="shared" si="101"/>
        <v>0</v>
      </c>
      <c r="AR527" s="156">
        <f t="shared" si="101"/>
        <v>0</v>
      </c>
      <c r="AS527" s="156">
        <f t="shared" si="101"/>
        <v>0</v>
      </c>
      <c r="AT527" s="156">
        <f t="shared" si="101"/>
        <v>915216.9</v>
      </c>
    </row>
    <row r="528" spans="1:46" ht="11.25" hidden="1" outlineLevel="3">
      <c r="A528" s="155" t="s">
        <v>152</v>
      </c>
      <c r="B528" s="155" t="s">
        <v>153</v>
      </c>
      <c r="C528" s="155" t="s">
        <v>133</v>
      </c>
      <c r="D528" s="156" t="s">
        <v>191</v>
      </c>
      <c r="E528" s="156" t="s">
        <v>198</v>
      </c>
      <c r="F528" s="157">
        <v>0</v>
      </c>
      <c r="G528" s="157">
        <v>4780759</v>
      </c>
      <c r="H528" s="156">
        <v>143172.07999999999</v>
      </c>
      <c r="I528" s="156">
        <v>0</v>
      </c>
      <c r="J528" s="156">
        <v>102642.89</v>
      </c>
      <c r="K528" s="156">
        <v>0</v>
      </c>
      <c r="L528" s="156">
        <v>0</v>
      </c>
      <c r="M528" s="156">
        <v>0</v>
      </c>
      <c r="N528" s="156">
        <f>J528+K528+L528+M528</f>
        <v>102642.89</v>
      </c>
      <c r="O528" s="156">
        <v>0</v>
      </c>
      <c r="P528" s="156">
        <v>0</v>
      </c>
      <c r="Q528" s="156">
        <v>0</v>
      </c>
      <c r="R528" s="156">
        <v>0</v>
      </c>
      <c r="S528" s="156">
        <v>0</v>
      </c>
      <c r="T528" s="156">
        <v>0</v>
      </c>
      <c r="U528" s="156">
        <v>0</v>
      </c>
      <c r="V528" s="156">
        <v>0</v>
      </c>
      <c r="W528" s="156">
        <v>0</v>
      </c>
      <c r="X528" s="156">
        <v>0</v>
      </c>
      <c r="Y528" s="156">
        <v>0</v>
      </c>
      <c r="Z528" s="156">
        <v>0</v>
      </c>
      <c r="AA528" s="156">
        <v>0</v>
      </c>
      <c r="AB528" s="156">
        <v>0</v>
      </c>
      <c r="AC528" s="156">
        <v>0</v>
      </c>
      <c r="AD528" s="156">
        <v>0</v>
      </c>
      <c r="AE528" s="156">
        <v>0</v>
      </c>
      <c r="AF528" s="156">
        <v>0</v>
      </c>
      <c r="AG528" s="156">
        <v>0</v>
      </c>
      <c r="AH528" s="156">
        <v>0</v>
      </c>
      <c r="AI528" s="156">
        <v>0</v>
      </c>
      <c r="AJ528" s="156">
        <v>0</v>
      </c>
      <c r="AK528" s="156">
        <v>0</v>
      </c>
      <c r="AL528" s="156">
        <v>0</v>
      </c>
      <c r="AM528" s="156">
        <v>0</v>
      </c>
      <c r="AN528" s="156">
        <v>0</v>
      </c>
      <c r="AO528" s="156">
        <v>0</v>
      </c>
      <c r="AP528" s="156">
        <v>0</v>
      </c>
      <c r="AQ528" s="156">
        <v>0</v>
      </c>
      <c r="AR528" s="156">
        <v>0</v>
      </c>
      <c r="AS528" s="156">
        <v>0</v>
      </c>
      <c r="AT528" s="156">
        <f>H528+I528+N528+O528+P528+Q528+T528+X528+Y528+Z528+AA528+AB528+AM528+AO528</f>
        <v>245814.96999999997</v>
      </c>
    </row>
    <row r="529" spans="4:46" ht="11.25" outlineLevel="2" collapsed="1">
      <c r="D529" s="156"/>
      <c r="E529" s="156" t="s">
        <v>242</v>
      </c>
      <c r="F529" s="157">
        <v>1</v>
      </c>
      <c r="G529" s="157">
        <f t="shared" ref="G529:AT529" si="102">SUBTOTAL(9,G528:G528)</f>
        <v>4780759</v>
      </c>
      <c r="H529" s="156">
        <f t="shared" si="102"/>
        <v>143172.07999999999</v>
      </c>
      <c r="I529" s="156">
        <f t="shared" si="102"/>
        <v>0</v>
      </c>
      <c r="J529" s="156">
        <f t="shared" si="102"/>
        <v>102642.89</v>
      </c>
      <c r="K529" s="156">
        <f t="shared" si="102"/>
        <v>0</v>
      </c>
      <c r="L529" s="156">
        <f t="shared" si="102"/>
        <v>0</v>
      </c>
      <c r="M529" s="156">
        <f t="shared" si="102"/>
        <v>0</v>
      </c>
      <c r="N529" s="156">
        <f t="shared" si="102"/>
        <v>102642.89</v>
      </c>
      <c r="O529" s="156">
        <f t="shared" si="102"/>
        <v>0</v>
      </c>
      <c r="P529" s="156">
        <f t="shared" si="102"/>
        <v>0</v>
      </c>
      <c r="Q529" s="156">
        <f t="shared" si="102"/>
        <v>0</v>
      </c>
      <c r="R529" s="156">
        <f t="shared" si="102"/>
        <v>0</v>
      </c>
      <c r="S529" s="156">
        <f t="shared" si="102"/>
        <v>0</v>
      </c>
      <c r="T529" s="156">
        <f t="shared" si="102"/>
        <v>0</v>
      </c>
      <c r="U529" s="156">
        <f t="shared" si="102"/>
        <v>0</v>
      </c>
      <c r="V529" s="156">
        <f t="shared" si="102"/>
        <v>0</v>
      </c>
      <c r="W529" s="156">
        <f t="shared" si="102"/>
        <v>0</v>
      </c>
      <c r="X529" s="156">
        <f t="shared" si="102"/>
        <v>0</v>
      </c>
      <c r="Y529" s="156">
        <f t="shared" si="102"/>
        <v>0</v>
      </c>
      <c r="Z529" s="156">
        <f t="shared" si="102"/>
        <v>0</v>
      </c>
      <c r="AA529" s="156">
        <f t="shared" si="102"/>
        <v>0</v>
      </c>
      <c r="AB529" s="156">
        <f t="shared" si="102"/>
        <v>0</v>
      </c>
      <c r="AC529" s="156">
        <f t="shared" si="102"/>
        <v>0</v>
      </c>
      <c r="AD529" s="156">
        <f t="shared" si="102"/>
        <v>0</v>
      </c>
      <c r="AE529" s="156">
        <f t="shared" si="102"/>
        <v>0</v>
      </c>
      <c r="AF529" s="156">
        <f t="shared" si="102"/>
        <v>0</v>
      </c>
      <c r="AG529" s="156">
        <f t="shared" si="102"/>
        <v>0</v>
      </c>
      <c r="AH529" s="156">
        <f t="shared" si="102"/>
        <v>0</v>
      </c>
      <c r="AI529" s="156">
        <f t="shared" si="102"/>
        <v>0</v>
      </c>
      <c r="AJ529" s="156">
        <f t="shared" si="102"/>
        <v>0</v>
      </c>
      <c r="AK529" s="156">
        <f t="shared" si="102"/>
        <v>0</v>
      </c>
      <c r="AL529" s="156">
        <f t="shared" si="102"/>
        <v>0</v>
      </c>
      <c r="AM529" s="156">
        <f t="shared" si="102"/>
        <v>0</v>
      </c>
      <c r="AN529" s="156">
        <f t="shared" si="102"/>
        <v>0</v>
      </c>
      <c r="AO529" s="156">
        <f t="shared" si="102"/>
        <v>0</v>
      </c>
      <c r="AP529" s="156">
        <f t="shared" si="102"/>
        <v>0</v>
      </c>
      <c r="AQ529" s="156">
        <f t="shared" si="102"/>
        <v>0</v>
      </c>
      <c r="AR529" s="156">
        <f t="shared" si="102"/>
        <v>0</v>
      </c>
      <c r="AS529" s="156">
        <f t="shared" si="102"/>
        <v>0</v>
      </c>
      <c r="AT529" s="156">
        <f t="shared" si="102"/>
        <v>245814.96999999997</v>
      </c>
    </row>
    <row r="530" spans="4:46" ht="11.25" outlineLevel="1">
      <c r="D530" s="159" t="s">
        <v>243</v>
      </c>
      <c r="E530" s="159"/>
      <c r="F530" s="160">
        <f>F523+F525+F527+F529</f>
        <v>4</v>
      </c>
      <c r="G530" s="160">
        <f t="shared" ref="G530:AT530" si="103">SUBTOTAL(9,G522:G528)</f>
        <v>25362528</v>
      </c>
      <c r="H530" s="159">
        <f t="shared" si="103"/>
        <v>695954.15</v>
      </c>
      <c r="I530" s="159">
        <f t="shared" si="103"/>
        <v>0</v>
      </c>
      <c r="J530" s="159">
        <f t="shared" si="103"/>
        <v>544533.48</v>
      </c>
      <c r="K530" s="159">
        <f t="shared" si="103"/>
        <v>0</v>
      </c>
      <c r="L530" s="159">
        <f t="shared" si="103"/>
        <v>0</v>
      </c>
      <c r="M530" s="159">
        <f t="shared" si="103"/>
        <v>0</v>
      </c>
      <c r="N530" s="159">
        <f t="shared" si="103"/>
        <v>544533.48</v>
      </c>
      <c r="O530" s="159">
        <f t="shared" si="103"/>
        <v>0</v>
      </c>
      <c r="P530" s="159">
        <f t="shared" si="103"/>
        <v>0</v>
      </c>
      <c r="Q530" s="159">
        <f t="shared" si="103"/>
        <v>0</v>
      </c>
      <c r="R530" s="159">
        <f t="shared" si="103"/>
        <v>0</v>
      </c>
      <c r="S530" s="159">
        <f t="shared" si="103"/>
        <v>0</v>
      </c>
      <c r="T530" s="159">
        <f t="shared" si="103"/>
        <v>0</v>
      </c>
      <c r="U530" s="159">
        <f t="shared" si="103"/>
        <v>0</v>
      </c>
      <c r="V530" s="159">
        <f t="shared" si="103"/>
        <v>0</v>
      </c>
      <c r="W530" s="159">
        <f t="shared" si="103"/>
        <v>0</v>
      </c>
      <c r="X530" s="159">
        <f t="shared" si="103"/>
        <v>0</v>
      </c>
      <c r="Y530" s="159">
        <f t="shared" si="103"/>
        <v>0</v>
      </c>
      <c r="Z530" s="159">
        <f t="shared" si="103"/>
        <v>0</v>
      </c>
      <c r="AA530" s="159">
        <f t="shared" si="103"/>
        <v>0</v>
      </c>
      <c r="AB530" s="159">
        <f t="shared" si="103"/>
        <v>0</v>
      </c>
      <c r="AC530" s="159">
        <f t="shared" si="103"/>
        <v>0</v>
      </c>
      <c r="AD530" s="159">
        <f t="shared" si="103"/>
        <v>0</v>
      </c>
      <c r="AE530" s="159">
        <f t="shared" si="103"/>
        <v>0</v>
      </c>
      <c r="AF530" s="159">
        <f t="shared" si="103"/>
        <v>0</v>
      </c>
      <c r="AG530" s="159">
        <f t="shared" si="103"/>
        <v>0</v>
      </c>
      <c r="AH530" s="159">
        <f t="shared" si="103"/>
        <v>0</v>
      </c>
      <c r="AI530" s="159">
        <f t="shared" si="103"/>
        <v>0</v>
      </c>
      <c r="AJ530" s="159">
        <f t="shared" si="103"/>
        <v>0</v>
      </c>
      <c r="AK530" s="159">
        <f t="shared" si="103"/>
        <v>0</v>
      </c>
      <c r="AL530" s="159">
        <f t="shared" si="103"/>
        <v>0</v>
      </c>
      <c r="AM530" s="159">
        <f t="shared" si="103"/>
        <v>0</v>
      </c>
      <c r="AN530" s="159">
        <f t="shared" si="103"/>
        <v>0</v>
      </c>
      <c r="AO530" s="159">
        <f t="shared" si="103"/>
        <v>0</v>
      </c>
      <c r="AP530" s="159">
        <f t="shared" si="103"/>
        <v>0</v>
      </c>
      <c r="AQ530" s="159">
        <f t="shared" si="103"/>
        <v>0</v>
      </c>
      <c r="AR530" s="159">
        <f t="shared" si="103"/>
        <v>0</v>
      </c>
      <c r="AS530" s="159">
        <f t="shared" si="103"/>
        <v>0</v>
      </c>
      <c r="AT530" s="159">
        <f t="shared" si="103"/>
        <v>1240487.6299999999</v>
      </c>
    </row>
    <row r="531" spans="4:46" ht="11.25">
      <c r="D531" s="159" t="s">
        <v>169</v>
      </c>
      <c r="E531" s="159"/>
      <c r="F531" s="160">
        <f>F530+F521+F503+F414+F352+F272+F143</f>
        <v>175512</v>
      </c>
      <c r="G531" s="160">
        <f t="shared" ref="G531:AT531" si="104">SUBTOTAL(9,G2:G528)</f>
        <v>430324913</v>
      </c>
      <c r="H531" s="159">
        <f t="shared" si="104"/>
        <v>43047732.579999976</v>
      </c>
      <c r="I531" s="159">
        <f t="shared" si="104"/>
        <v>843862.06999999948</v>
      </c>
      <c r="J531" s="159">
        <f t="shared" si="104"/>
        <v>916665.65</v>
      </c>
      <c r="K531" s="159">
        <f t="shared" si="104"/>
        <v>669519.53000000014</v>
      </c>
      <c r="L531" s="159">
        <f t="shared" si="104"/>
        <v>367750.77999999991</v>
      </c>
      <c r="M531" s="159">
        <f t="shared" si="104"/>
        <v>558978.69000000006</v>
      </c>
      <c r="N531" s="159">
        <f t="shared" si="104"/>
        <v>2512914.6500000008</v>
      </c>
      <c r="O531" s="159">
        <f t="shared" si="104"/>
        <v>39564.330000000009</v>
      </c>
      <c r="P531" s="159">
        <f t="shared" si="104"/>
        <v>54081.80999999999</v>
      </c>
      <c r="Q531" s="159">
        <f t="shared" si="104"/>
        <v>25276.210000000006</v>
      </c>
      <c r="R531" s="159">
        <f t="shared" si="104"/>
        <v>0</v>
      </c>
      <c r="S531" s="159">
        <f t="shared" si="104"/>
        <v>0</v>
      </c>
      <c r="T531" s="159">
        <f t="shared" si="104"/>
        <v>260099.18999999997</v>
      </c>
      <c r="U531" s="159">
        <f t="shared" si="104"/>
        <v>0</v>
      </c>
      <c r="V531" s="159">
        <f t="shared" si="104"/>
        <v>0</v>
      </c>
      <c r="W531" s="159">
        <f t="shared" si="104"/>
        <v>0</v>
      </c>
      <c r="X531" s="159">
        <f t="shared" si="104"/>
        <v>6723.2500000000009</v>
      </c>
      <c r="Y531" s="159">
        <f t="shared" si="104"/>
        <v>17793.820000000003</v>
      </c>
      <c r="Z531" s="159">
        <f t="shared" si="104"/>
        <v>160921.86999999982</v>
      </c>
      <c r="AA531" s="159">
        <f t="shared" si="104"/>
        <v>35304.81</v>
      </c>
      <c r="AB531" s="159">
        <f t="shared" si="104"/>
        <v>-25.88</v>
      </c>
      <c r="AC531" s="159">
        <f t="shared" si="104"/>
        <v>0</v>
      </c>
      <c r="AD531" s="159">
        <f t="shared" si="104"/>
        <v>-1012</v>
      </c>
      <c r="AE531" s="159">
        <f t="shared" si="104"/>
        <v>0</v>
      </c>
      <c r="AF531" s="159">
        <f t="shared" si="104"/>
        <v>0</v>
      </c>
      <c r="AG531" s="159">
        <f t="shared" si="104"/>
        <v>0</v>
      </c>
      <c r="AH531" s="159">
        <f t="shared" si="104"/>
        <v>0</v>
      </c>
      <c r="AI531" s="159">
        <f t="shared" si="104"/>
        <v>198177.54000000004</v>
      </c>
      <c r="AJ531" s="159">
        <f t="shared" si="104"/>
        <v>5030</v>
      </c>
      <c r="AK531" s="159">
        <f t="shared" si="104"/>
        <v>-6855.2199999999975</v>
      </c>
      <c r="AL531" s="159">
        <f t="shared" si="104"/>
        <v>1197295.3000000007</v>
      </c>
      <c r="AM531" s="159">
        <f t="shared" si="104"/>
        <v>-1859535.1200000006</v>
      </c>
      <c r="AN531" s="159">
        <f t="shared" si="104"/>
        <v>0</v>
      </c>
      <c r="AO531" s="159">
        <f t="shared" si="104"/>
        <v>208498.23</v>
      </c>
      <c r="AP531" s="159">
        <f t="shared" si="104"/>
        <v>0</v>
      </c>
      <c r="AQ531" s="159">
        <f t="shared" si="104"/>
        <v>0</v>
      </c>
      <c r="AR531" s="159">
        <f t="shared" si="104"/>
        <v>-30664.800000000003</v>
      </c>
      <c r="AS531" s="159">
        <f t="shared" si="104"/>
        <v>-5738621.9486421859</v>
      </c>
      <c r="AT531" s="159">
        <f t="shared" si="104"/>
        <v>45353211.820000067</v>
      </c>
    </row>
    <row r="532" spans="4:46" ht="14.1" customHeight="1"/>
    <row r="533" spans="4:46" ht="14.1" customHeight="1"/>
    <row r="534" spans="4:46" ht="14.1" customHeight="1"/>
    <row r="535" spans="4:46" ht="14.1" customHeight="1"/>
    <row r="536" spans="4:46" ht="14.1" customHeight="1"/>
    <row r="537" spans="4:46" ht="14.1" customHeight="1"/>
    <row r="538" spans="4:46" ht="14.1" customHeight="1"/>
    <row r="539" spans="4:46" ht="14.1" customHeight="1"/>
    <row r="540" spans="4:46" ht="14.1" customHeight="1"/>
    <row r="541" spans="4:46" ht="14.1" customHeight="1"/>
    <row r="542" spans="4:46" ht="14.1" customHeight="1"/>
    <row r="543" spans="4:46" ht="14.1" customHeight="1"/>
    <row r="544" spans="4:46" ht="14.1" customHeight="1"/>
    <row r="545" ht="14.1" customHeight="1"/>
    <row r="546" ht="14.1" customHeight="1"/>
    <row r="547" ht="14.1" customHeight="1"/>
    <row r="548" ht="14.1" customHeight="1"/>
    <row r="549" ht="14.1" customHeight="1"/>
    <row r="550" ht="14.1" customHeight="1"/>
    <row r="551" ht="14.1" customHeight="1"/>
    <row r="552" ht="14.1" customHeight="1"/>
    <row r="553" ht="14.1" customHeight="1"/>
    <row r="554" ht="14.1" customHeight="1"/>
    <row r="555" ht="14.1" customHeight="1"/>
    <row r="556" ht="14.1" customHeight="1"/>
    <row r="557" ht="14.1" customHeight="1"/>
    <row r="558" ht="14.1" customHeight="1"/>
    <row r="559" ht="14.1" customHeight="1"/>
    <row r="560" ht="14.1" customHeight="1"/>
    <row r="561" ht="14.1" customHeight="1"/>
    <row r="562" ht="14.1" customHeight="1"/>
    <row r="563" ht="14.1" customHeight="1"/>
    <row r="564" ht="14.1" customHeight="1"/>
    <row r="565" ht="14.1" customHeight="1"/>
    <row r="566" ht="14.1" customHeight="1"/>
    <row r="567" ht="14.1" customHeight="1"/>
    <row r="568" ht="14.1" customHeight="1"/>
    <row r="569" ht="14.1" customHeight="1"/>
    <row r="570" ht="14.1" customHeight="1"/>
    <row r="571" ht="14.1" customHeight="1"/>
    <row r="572" ht="14.1" customHeight="1"/>
    <row r="573" ht="14.1" customHeight="1"/>
    <row r="574" ht="14.1" customHeight="1"/>
    <row r="575" ht="14.1" customHeight="1"/>
    <row r="576" ht="14.1" customHeight="1"/>
    <row r="577" ht="14.1" customHeight="1"/>
    <row r="578" ht="14.1" customHeight="1"/>
    <row r="579" ht="14.1" customHeight="1"/>
    <row r="580" ht="14.1" customHeight="1"/>
    <row r="581" ht="14.1" customHeight="1"/>
    <row r="582" ht="14.1" customHeight="1"/>
    <row r="583" ht="14.1" customHeight="1"/>
    <row r="584" ht="14.1" customHeight="1"/>
    <row r="585" ht="14.1" customHeight="1"/>
    <row r="586" ht="14.1" customHeight="1"/>
    <row r="587" ht="14.1" customHeight="1"/>
    <row r="588" ht="14.1" customHeight="1"/>
    <row r="589" ht="14.1" customHeight="1"/>
    <row r="590" ht="14.1" customHeight="1"/>
    <row r="591" ht="14.1" customHeight="1"/>
    <row r="592" ht="14.1" customHeight="1"/>
    <row r="593" ht="14.1" customHeight="1"/>
    <row r="594" ht="14.1" customHeight="1"/>
    <row r="595" ht="14.1" customHeight="1"/>
    <row r="596" ht="14.1" customHeight="1"/>
    <row r="597" ht="14.1" customHeight="1"/>
    <row r="598" ht="14.1" customHeight="1"/>
    <row r="599" ht="14.1" customHeight="1"/>
    <row r="600" ht="14.1" customHeight="1"/>
    <row r="601" ht="14.1" customHeight="1"/>
    <row r="602" ht="14.1" customHeight="1"/>
    <row r="603" ht="14.1" customHeight="1"/>
    <row r="604" ht="14.1" customHeight="1"/>
    <row r="605" ht="14.1" customHeight="1"/>
    <row r="606" ht="14.1" customHeight="1"/>
    <row r="607" ht="14.1" customHeight="1"/>
    <row r="608" ht="14.1" customHeight="1"/>
    <row r="609" ht="14.1" customHeight="1"/>
    <row r="610" ht="14.1" customHeight="1"/>
    <row r="611" ht="14.1" customHeight="1"/>
    <row r="612" ht="14.1" customHeight="1"/>
    <row r="613" ht="14.1" customHeight="1"/>
    <row r="614" ht="14.1" customHeight="1"/>
    <row r="615" ht="14.1" customHeight="1"/>
    <row r="616" ht="14.1" customHeight="1"/>
    <row r="617" ht="14.1" customHeight="1"/>
    <row r="618" ht="14.1" customHeight="1"/>
    <row r="619" ht="14.1" customHeight="1"/>
    <row r="620" ht="14.1" customHeight="1"/>
    <row r="621" ht="14.1" customHeight="1"/>
    <row r="622" ht="14.1" customHeight="1"/>
    <row r="623" ht="14.1" customHeight="1"/>
    <row r="624" ht="14.1" customHeight="1"/>
    <row r="625" ht="14.1" customHeight="1"/>
    <row r="626" ht="14.1" customHeight="1"/>
    <row r="627" ht="14.1" customHeight="1"/>
    <row r="628" ht="14.1" customHeight="1"/>
    <row r="629" ht="14.1" customHeight="1"/>
    <row r="630" ht="14.1" customHeight="1"/>
    <row r="631" ht="14.1" customHeight="1"/>
    <row r="632" ht="14.1" customHeight="1"/>
    <row r="633" ht="14.1" customHeight="1"/>
    <row r="634" ht="14.1" customHeight="1"/>
    <row r="635" ht="14.1" customHeight="1"/>
    <row r="636" ht="14.1" customHeight="1"/>
    <row r="637" ht="14.1" customHeight="1"/>
    <row r="638" ht="14.1" customHeight="1"/>
    <row r="639" ht="14.1" customHeight="1"/>
    <row r="640" ht="14.1" customHeight="1"/>
    <row r="641" ht="14.1" customHeight="1"/>
    <row r="642" ht="14.1" customHeight="1"/>
    <row r="643" ht="14.1" customHeight="1"/>
    <row r="644" ht="14.1" customHeight="1"/>
    <row r="645" ht="14.1" customHeight="1"/>
    <row r="646" ht="14.1" customHeight="1"/>
    <row r="647" ht="14.1" customHeight="1"/>
    <row r="648" ht="14.1" customHeight="1"/>
    <row r="649" ht="14.1" customHeight="1"/>
    <row r="650" ht="14.1" customHeight="1"/>
    <row r="651" ht="14.1" customHeight="1"/>
    <row r="652" ht="14.1" customHeight="1"/>
    <row r="653" ht="14.1" customHeight="1"/>
    <row r="654" ht="14.1" customHeight="1"/>
    <row r="655" ht="14.1" customHeight="1"/>
    <row r="656" ht="14.1" customHeight="1"/>
    <row r="657" ht="14.1" customHeight="1"/>
    <row r="658" ht="14.1" customHeight="1"/>
    <row r="659" ht="14.1" customHeight="1"/>
    <row r="660" ht="14.1" customHeight="1"/>
    <row r="661" ht="14.1" customHeight="1"/>
    <row r="662" ht="14.1" customHeight="1"/>
    <row r="663" ht="14.1" customHeight="1"/>
    <row r="664" ht="14.1" customHeight="1"/>
    <row r="665" ht="14.1" customHeight="1"/>
    <row r="666" ht="14.1" customHeight="1"/>
    <row r="667" ht="14.1" customHeight="1"/>
    <row r="668" ht="14.1" customHeight="1"/>
    <row r="669" ht="14.1" customHeight="1"/>
    <row r="670" ht="14.1" customHeight="1"/>
    <row r="671" ht="14.1" customHeight="1"/>
    <row r="672" ht="14.1" customHeight="1"/>
    <row r="673" ht="14.1" customHeight="1"/>
    <row r="674" ht="14.1" customHeight="1"/>
    <row r="675" ht="14.1" customHeight="1"/>
    <row r="676" ht="14.1" customHeight="1"/>
    <row r="677" ht="14.1" customHeight="1"/>
    <row r="678" ht="14.1" customHeight="1"/>
    <row r="679" ht="14.1" customHeight="1"/>
    <row r="680" ht="14.1" customHeight="1"/>
    <row r="681" ht="14.1" customHeight="1"/>
    <row r="682" ht="14.1" customHeight="1"/>
    <row r="683" ht="14.1" customHeight="1"/>
    <row r="684" ht="14.1" customHeight="1"/>
    <row r="685" ht="14.1" customHeight="1"/>
    <row r="686" ht="14.1" customHeight="1"/>
    <row r="687" ht="14.1" customHeight="1"/>
    <row r="688" ht="14.1" customHeight="1"/>
    <row r="689" ht="14.1" customHeight="1"/>
    <row r="690" ht="14.1" customHeight="1"/>
    <row r="691" ht="14.1" customHeight="1"/>
    <row r="692" ht="14.1" customHeight="1"/>
    <row r="693" ht="14.1" customHeight="1"/>
    <row r="694" ht="14.1" customHeight="1"/>
    <row r="695" ht="14.1" customHeight="1"/>
    <row r="696" ht="14.1" customHeight="1"/>
    <row r="697" ht="14.1" customHeight="1"/>
    <row r="698" ht="14.1" customHeight="1"/>
    <row r="699" ht="14.1" customHeight="1"/>
    <row r="700" ht="14.1" customHeight="1"/>
    <row r="701" ht="14.1" customHeight="1"/>
    <row r="702" ht="14.1" customHeight="1"/>
    <row r="703" ht="14.1" customHeight="1"/>
    <row r="704" ht="14.1" customHeight="1"/>
    <row r="705" ht="14.1" customHeight="1"/>
    <row r="706" ht="14.1" customHeight="1"/>
    <row r="707" ht="14.1" customHeight="1"/>
    <row r="708" ht="14.1" customHeight="1"/>
    <row r="709" ht="14.1" customHeight="1"/>
    <row r="710" ht="14.1" customHeight="1"/>
    <row r="711" ht="14.1" customHeight="1"/>
    <row r="712" ht="14.1" customHeight="1"/>
    <row r="713" ht="14.1" customHeight="1"/>
    <row r="714" ht="14.1" customHeight="1"/>
    <row r="715" ht="14.1" customHeight="1"/>
    <row r="716" ht="14.1" customHeight="1"/>
    <row r="717" ht="14.1" customHeight="1"/>
    <row r="718" ht="14.1" customHeight="1"/>
    <row r="719" ht="14.1" customHeight="1"/>
    <row r="720" ht="14.1" customHeight="1"/>
    <row r="721" ht="14.1" customHeight="1"/>
    <row r="722" ht="14.1" customHeight="1"/>
    <row r="723" ht="14.1" customHeight="1"/>
    <row r="724" ht="14.1" customHeight="1"/>
    <row r="725" ht="14.1" customHeight="1"/>
    <row r="726" ht="14.1" customHeight="1"/>
    <row r="727" ht="14.1" customHeight="1"/>
    <row r="728" ht="14.1" customHeight="1"/>
    <row r="729" ht="14.1" customHeight="1"/>
    <row r="730" ht="14.1" customHeight="1"/>
    <row r="731" ht="14.1" customHeight="1"/>
    <row r="732" ht="14.1" customHeight="1"/>
    <row r="733" ht="14.1" customHeight="1"/>
    <row r="734" ht="14.1" customHeight="1"/>
    <row r="735" ht="14.1" customHeight="1"/>
    <row r="736" ht="14.1" customHeight="1"/>
    <row r="737" ht="14.1" customHeight="1"/>
    <row r="738" ht="14.1" customHeight="1"/>
    <row r="739" ht="14.1" customHeight="1"/>
    <row r="740" ht="14.1" customHeight="1"/>
    <row r="741" ht="14.1" customHeight="1"/>
    <row r="742" ht="14.1" customHeight="1"/>
    <row r="743" ht="14.1" customHeight="1"/>
    <row r="744" ht="14.1" customHeight="1"/>
    <row r="745" ht="14.1" customHeight="1"/>
    <row r="746" ht="14.1" customHeight="1"/>
    <row r="747" ht="14.1" customHeight="1"/>
    <row r="748" ht="14.1" customHeight="1"/>
    <row r="749" ht="14.1" customHeight="1"/>
    <row r="750" ht="14.1" customHeight="1"/>
    <row r="751" ht="14.1" customHeight="1"/>
    <row r="752" ht="14.1" customHeight="1"/>
    <row r="753" ht="14.1" customHeight="1"/>
    <row r="754" ht="14.1" customHeight="1"/>
    <row r="755" ht="14.1" customHeight="1"/>
    <row r="756" ht="14.1" customHeight="1"/>
    <row r="757" ht="14.1" customHeight="1"/>
    <row r="758" ht="14.1" customHeight="1"/>
    <row r="759" ht="14.1" customHeight="1"/>
    <row r="760" ht="14.1" customHeight="1"/>
    <row r="761" ht="14.1" customHeight="1"/>
    <row r="762" ht="14.1" customHeight="1"/>
    <row r="763" ht="14.1" customHeight="1"/>
    <row r="764" ht="14.1" customHeight="1"/>
    <row r="765" ht="14.1" customHeight="1"/>
    <row r="766" ht="14.1" customHeight="1"/>
    <row r="767" ht="14.1" customHeight="1"/>
    <row r="768" ht="14.1" customHeight="1"/>
    <row r="769" ht="14.1" customHeight="1"/>
    <row r="770" ht="14.1" customHeight="1"/>
    <row r="771" ht="14.1" customHeight="1"/>
    <row r="772" ht="14.1" customHeight="1"/>
    <row r="773" ht="14.1" customHeight="1"/>
    <row r="774" ht="14.1" customHeight="1"/>
    <row r="775" ht="14.1" customHeight="1"/>
    <row r="776" ht="14.1" customHeight="1"/>
    <row r="777" ht="14.1" customHeight="1"/>
    <row r="778" ht="14.1" customHeight="1"/>
    <row r="779" ht="14.1" customHeight="1"/>
    <row r="780" ht="14.1" customHeight="1"/>
    <row r="781" ht="14.1" customHeight="1"/>
    <row r="782" ht="14.1" customHeight="1"/>
    <row r="783" ht="14.1" customHeight="1"/>
    <row r="784" ht="14.1" customHeight="1"/>
    <row r="785" ht="14.1" customHeight="1"/>
    <row r="786" ht="14.1" customHeight="1"/>
    <row r="787" ht="14.1" customHeight="1"/>
    <row r="788" ht="14.1" customHeight="1"/>
    <row r="789" ht="14.1" customHeight="1"/>
    <row r="790" ht="14.1" customHeight="1"/>
    <row r="791" ht="14.1" customHeight="1"/>
    <row r="792" ht="14.1" customHeight="1"/>
    <row r="793" ht="14.1" customHeight="1"/>
    <row r="794" ht="14.1" customHeight="1"/>
    <row r="795" ht="14.1" customHeight="1"/>
    <row r="796" ht="14.1" customHeight="1"/>
    <row r="797" ht="14.1" customHeight="1"/>
    <row r="798" ht="14.1" customHeight="1"/>
    <row r="799" ht="14.1" customHeight="1"/>
    <row r="800" ht="14.1" customHeight="1"/>
    <row r="801" ht="14.1" customHeight="1"/>
    <row r="802" ht="14.1" customHeight="1"/>
    <row r="803" ht="14.1" customHeight="1"/>
    <row r="804" ht="14.1" customHeight="1"/>
    <row r="805" ht="14.1" customHeight="1"/>
    <row r="806" ht="14.1" customHeight="1"/>
    <row r="807" ht="14.1" customHeight="1"/>
    <row r="808" ht="14.1" customHeight="1"/>
    <row r="809" ht="14.1" customHeight="1"/>
    <row r="810" ht="14.1" customHeight="1"/>
    <row r="811" ht="14.1" customHeight="1"/>
    <row r="812" ht="14.1" customHeight="1"/>
    <row r="813" ht="14.1" customHeight="1"/>
    <row r="814" ht="14.1" customHeight="1"/>
    <row r="815" ht="14.1" customHeight="1"/>
    <row r="816" ht="14.1" customHeight="1"/>
    <row r="817" ht="14.1" customHeight="1"/>
    <row r="818" ht="14.1" customHeight="1"/>
    <row r="819" ht="14.1" customHeight="1"/>
    <row r="820" ht="14.1" customHeight="1"/>
    <row r="821" ht="14.1" customHeight="1"/>
    <row r="822" ht="14.1" customHeight="1"/>
    <row r="823" ht="14.1" customHeight="1"/>
    <row r="824" ht="14.1" customHeight="1"/>
    <row r="825" ht="14.1" customHeight="1"/>
    <row r="826" ht="14.1" customHeight="1"/>
    <row r="827" ht="14.1" customHeight="1"/>
    <row r="828" ht="14.1" customHeight="1"/>
    <row r="829" ht="14.1" customHeight="1"/>
    <row r="830" ht="14.1" customHeight="1"/>
    <row r="831" ht="14.1" customHeight="1"/>
    <row r="832" ht="14.1" customHeight="1"/>
    <row r="833" ht="14.1" customHeight="1"/>
    <row r="834" ht="14.1" customHeight="1"/>
    <row r="835" ht="14.1" customHeight="1"/>
    <row r="836" ht="14.1" customHeight="1"/>
    <row r="837" ht="14.1" customHeight="1"/>
    <row r="838" ht="14.1" customHeight="1"/>
    <row r="839" ht="14.1" customHeight="1"/>
    <row r="840" ht="14.1" customHeight="1"/>
    <row r="841" ht="14.1" customHeight="1"/>
    <row r="842" ht="14.1" customHeight="1"/>
    <row r="843" ht="14.1" customHeight="1"/>
    <row r="844" ht="14.1" customHeight="1"/>
    <row r="845" ht="14.1" customHeight="1"/>
    <row r="846" ht="14.1" customHeight="1"/>
    <row r="847" ht="14.1" customHeight="1"/>
    <row r="848" ht="14.1" customHeight="1"/>
    <row r="849" ht="14.1" customHeight="1"/>
    <row r="850" ht="14.1" customHeight="1"/>
    <row r="851" ht="14.1" customHeight="1"/>
    <row r="852" ht="14.1" customHeight="1"/>
    <row r="853" ht="14.1" customHeight="1"/>
    <row r="854" ht="14.1" customHeight="1"/>
    <row r="855" ht="14.1" customHeight="1"/>
    <row r="856" ht="14.1" customHeight="1"/>
    <row r="857" ht="14.1" customHeight="1"/>
    <row r="858" ht="14.1" customHeight="1"/>
    <row r="859" ht="14.1" customHeight="1"/>
    <row r="860" ht="14.1" customHeight="1"/>
    <row r="861" ht="14.1" customHeight="1"/>
    <row r="862" ht="14.1" customHeight="1"/>
    <row r="863" ht="14.1" customHeight="1"/>
    <row r="864" ht="14.1" customHeight="1"/>
    <row r="865" ht="14.1" customHeight="1"/>
    <row r="866" ht="14.1" customHeight="1"/>
    <row r="867" ht="14.1" customHeight="1"/>
    <row r="868" ht="14.1" customHeight="1"/>
    <row r="869" ht="14.1" customHeight="1"/>
    <row r="870" ht="14.1" customHeight="1"/>
    <row r="871" ht="14.1" customHeight="1"/>
    <row r="872" ht="14.1" customHeight="1"/>
    <row r="873" ht="14.1" customHeight="1"/>
    <row r="874" ht="14.1" customHeight="1"/>
    <row r="875" ht="14.1" customHeight="1"/>
    <row r="876" ht="14.1" customHeight="1"/>
    <row r="877" ht="14.1" customHeight="1"/>
    <row r="878" ht="14.1" customHeight="1"/>
    <row r="879" ht="14.1" customHeight="1"/>
    <row r="880" ht="14.1" customHeight="1"/>
    <row r="881" ht="14.1" customHeight="1"/>
    <row r="882" ht="14.1" customHeight="1"/>
    <row r="883" ht="14.1" customHeight="1"/>
    <row r="884" ht="14.1" customHeight="1"/>
    <row r="885" ht="14.1" customHeight="1"/>
    <row r="886" ht="14.1" customHeight="1"/>
    <row r="887" ht="14.1" customHeight="1"/>
    <row r="888" ht="14.1" customHeight="1"/>
    <row r="889" ht="14.1" customHeight="1"/>
    <row r="890" ht="14.1" customHeight="1"/>
    <row r="891" ht="14.1" customHeight="1"/>
    <row r="892" ht="14.1" customHeight="1"/>
    <row r="893" ht="14.1" customHeight="1"/>
    <row r="894" ht="14.1" customHeight="1"/>
    <row r="895" ht="14.1" customHeight="1"/>
    <row r="896" ht="14.1" customHeight="1"/>
    <row r="897" ht="14.1" customHeight="1"/>
    <row r="898" ht="14.1" customHeight="1"/>
    <row r="899" ht="14.1" customHeight="1"/>
    <row r="900" ht="14.1" customHeight="1"/>
    <row r="901" ht="14.1" customHeight="1"/>
    <row r="902" ht="14.1" customHeight="1"/>
    <row r="903" ht="14.1" customHeight="1"/>
    <row r="904" ht="14.1" customHeight="1"/>
    <row r="905" ht="14.1" customHeight="1"/>
    <row r="906" ht="14.1" customHeight="1"/>
    <row r="907" ht="14.1" customHeight="1"/>
    <row r="908" ht="14.1" customHeight="1"/>
    <row r="909" ht="14.1" customHeight="1"/>
    <row r="910" ht="14.1" customHeight="1"/>
    <row r="911" ht="14.1" customHeight="1"/>
    <row r="912" ht="14.1" customHeight="1"/>
    <row r="913" ht="14.1" customHeight="1"/>
    <row r="914" ht="14.1" customHeight="1"/>
    <row r="915" ht="14.1" customHeight="1"/>
    <row r="916" ht="14.1" customHeight="1"/>
    <row r="917" ht="14.1" customHeight="1"/>
    <row r="918" ht="14.1" customHeight="1"/>
    <row r="919" ht="14.1" customHeight="1"/>
    <row r="920" ht="14.1" customHeight="1"/>
    <row r="921" ht="14.1" customHeight="1"/>
    <row r="922" ht="14.1" customHeight="1"/>
    <row r="923" ht="14.1" customHeight="1"/>
    <row r="924" ht="14.1" customHeight="1"/>
    <row r="925" ht="14.1" customHeight="1"/>
    <row r="926" ht="14.1" customHeight="1"/>
    <row r="927" ht="14.1" customHeight="1"/>
    <row r="928" ht="14.1" customHeight="1"/>
    <row r="929" ht="14.1" customHeight="1"/>
    <row r="930" ht="14.1" customHeight="1"/>
    <row r="931" ht="14.1" customHeight="1"/>
    <row r="932" ht="14.1" customHeight="1"/>
    <row r="933" ht="14.1" customHeight="1"/>
    <row r="934" ht="14.1" customHeight="1"/>
    <row r="935" ht="14.1" customHeight="1"/>
    <row r="936" ht="14.1" customHeight="1"/>
    <row r="937" ht="14.1" customHeight="1"/>
    <row r="938" ht="14.1" customHeight="1"/>
    <row r="939" ht="14.1" customHeight="1"/>
    <row r="940" ht="14.1" customHeight="1"/>
    <row r="941" ht="14.1" customHeight="1"/>
    <row r="942" ht="14.1" customHeight="1"/>
    <row r="943" ht="14.1" customHeight="1"/>
    <row r="944" ht="14.1" customHeight="1"/>
    <row r="945" ht="14.1" customHeight="1"/>
    <row r="946" ht="14.1" customHeight="1"/>
    <row r="947" ht="14.1" customHeight="1"/>
    <row r="948" ht="14.1" customHeight="1"/>
    <row r="949" ht="14.1" customHeight="1"/>
    <row r="950" ht="14.1" customHeight="1"/>
    <row r="951" ht="14.1" customHeight="1"/>
    <row r="952" ht="14.1" customHeight="1"/>
    <row r="953" ht="14.1" customHeight="1"/>
    <row r="954" ht="14.1" customHeight="1"/>
    <row r="955" ht="14.1" customHeight="1"/>
    <row r="956" ht="14.1" customHeight="1"/>
    <row r="957" ht="14.1" customHeight="1"/>
    <row r="958" ht="14.1" customHeight="1"/>
    <row r="959" ht="14.1" customHeight="1"/>
    <row r="960" ht="14.1" customHeight="1"/>
    <row r="961" ht="14.1" customHeight="1"/>
    <row r="962" ht="14.1" customHeight="1"/>
    <row r="963" ht="14.1" customHeight="1"/>
    <row r="964" ht="14.1" customHeight="1"/>
    <row r="965" ht="14.1" customHeight="1"/>
    <row r="966" ht="14.1" customHeight="1"/>
    <row r="967" ht="14.1" customHeight="1"/>
    <row r="968" ht="14.1" customHeight="1"/>
    <row r="969" ht="14.1" customHeight="1"/>
    <row r="970" ht="14.1" customHeight="1"/>
    <row r="971" ht="14.1" customHeight="1"/>
    <row r="972" ht="14.1" customHeight="1"/>
    <row r="973" ht="14.1" customHeight="1"/>
    <row r="974" ht="14.1" customHeight="1"/>
    <row r="975" ht="14.1" customHeight="1"/>
    <row r="976" ht="14.1" customHeight="1"/>
    <row r="977" ht="14.1" customHeight="1"/>
    <row r="978" ht="14.1" customHeight="1"/>
    <row r="979" ht="14.1" customHeight="1"/>
    <row r="980" ht="14.1" customHeight="1"/>
    <row r="981" ht="14.1" customHeight="1"/>
    <row r="982" ht="14.1" customHeight="1"/>
    <row r="983" ht="14.1" customHeight="1"/>
    <row r="984" ht="14.1" customHeight="1"/>
    <row r="985" ht="14.1" customHeight="1"/>
    <row r="986" ht="14.1" customHeight="1"/>
    <row r="987" ht="14.1" customHeight="1"/>
    <row r="988" ht="14.1" customHeight="1"/>
    <row r="989" ht="14.1" customHeight="1"/>
    <row r="990" ht="14.1" customHeight="1"/>
    <row r="991" ht="14.1" customHeight="1"/>
    <row r="992" ht="14.1" customHeight="1"/>
    <row r="993" ht="14.1" customHeight="1"/>
    <row r="994" ht="14.1" customHeight="1"/>
    <row r="995" ht="14.1" customHeight="1"/>
    <row r="996" ht="14.1" customHeight="1"/>
    <row r="997" ht="14.1" customHeight="1"/>
    <row r="998" ht="14.1" customHeight="1"/>
    <row r="999" ht="14.1" customHeight="1"/>
    <row r="1000" ht="14.1" customHeight="1"/>
    <row r="1001" ht="14.1" customHeight="1"/>
    <row r="1002" ht="14.1" customHeight="1"/>
    <row r="1003" ht="14.1" customHeight="1"/>
    <row r="1004" ht="14.1" customHeight="1"/>
    <row r="1005" ht="14.1" customHeight="1"/>
    <row r="1006" ht="14.1" customHeight="1"/>
    <row r="1007" ht="14.1" customHeight="1"/>
    <row r="1008" ht="14.1" customHeight="1"/>
    <row r="1009" ht="14.1" customHeight="1"/>
    <row r="1010" ht="14.1" customHeight="1"/>
    <row r="1011" ht="14.1" customHeight="1"/>
    <row r="1012" ht="14.1" customHeight="1"/>
    <row r="1013" ht="14.1" customHeight="1"/>
    <row r="1014" ht="14.1" customHeight="1"/>
    <row r="1015" ht="14.1" customHeight="1"/>
    <row r="1016" ht="14.1" customHeight="1"/>
    <row r="1017" ht="14.1" customHeight="1"/>
    <row r="1018" ht="14.1" customHeight="1"/>
    <row r="1019" ht="14.1" customHeight="1"/>
    <row r="1020" ht="14.1" customHeight="1"/>
    <row r="1021" ht="14.1" customHeight="1"/>
    <row r="1022" ht="14.1" customHeight="1"/>
    <row r="1023" ht="14.1" customHeight="1"/>
    <row r="1024" ht="14.1" customHeight="1"/>
    <row r="1025" ht="14.1" customHeight="1"/>
    <row r="1026" ht="14.1" customHeight="1"/>
    <row r="1027" ht="14.1" customHeight="1"/>
    <row r="1028" ht="14.1" customHeight="1"/>
    <row r="1029" ht="14.1" customHeight="1"/>
    <row r="1030" ht="14.1" customHeight="1"/>
    <row r="1031" ht="14.1" customHeight="1"/>
    <row r="1032" ht="14.1" customHeight="1"/>
    <row r="1033" ht="14.1" customHeight="1"/>
    <row r="1034" ht="14.1" customHeight="1"/>
    <row r="1035" ht="14.1" customHeight="1"/>
    <row r="1036" ht="14.1" customHeight="1"/>
    <row r="1037" ht="14.1" customHeight="1"/>
    <row r="1038" ht="14.1" customHeight="1"/>
    <row r="1039" ht="14.1" customHeight="1"/>
    <row r="1040" ht="14.1" customHeight="1"/>
    <row r="1041" ht="14.1" customHeight="1"/>
    <row r="1042" ht="14.1" customHeight="1"/>
    <row r="1043" ht="14.1" customHeight="1"/>
    <row r="1044" ht="14.1" customHeight="1"/>
    <row r="1045" ht="14.1" customHeight="1"/>
    <row r="1046" ht="14.1" customHeight="1"/>
    <row r="1047" ht="14.1" customHeight="1"/>
    <row r="1048" ht="14.1" customHeight="1"/>
    <row r="1049" ht="14.1" customHeight="1"/>
    <row r="1050" ht="14.1" customHeight="1"/>
    <row r="1051" ht="14.1" customHeight="1"/>
    <row r="1052" ht="14.1" customHeight="1"/>
    <row r="1053" ht="14.1" customHeight="1"/>
    <row r="1054" ht="14.1" customHeight="1"/>
    <row r="1055" ht="14.1" customHeight="1"/>
    <row r="1056" ht="14.1" customHeight="1"/>
    <row r="1057" ht="14.1" customHeight="1"/>
    <row r="1058" ht="14.1" customHeight="1"/>
    <row r="1059" ht="14.1" customHeight="1"/>
    <row r="1060" ht="14.1" customHeight="1"/>
    <row r="1061" ht="14.1" customHeight="1"/>
    <row r="1062" ht="14.1" customHeight="1"/>
    <row r="1063" ht="14.1" customHeight="1"/>
    <row r="1064" ht="14.1" customHeight="1"/>
    <row r="1065" ht="14.1" customHeight="1"/>
    <row r="1066" ht="14.1" customHeight="1"/>
    <row r="1067" ht="14.1" customHeight="1"/>
    <row r="1068" ht="14.1" customHeight="1"/>
    <row r="1069" ht="14.1" customHeight="1"/>
    <row r="1070" ht="14.1" customHeight="1"/>
    <row r="1071" ht="14.1" customHeight="1"/>
    <row r="1072" ht="14.1" customHeight="1"/>
    <row r="1073" ht="14.1" customHeight="1"/>
    <row r="1074" ht="14.1" customHeight="1"/>
    <row r="1075" ht="14.1" customHeight="1"/>
    <row r="1076" ht="14.1" customHeight="1"/>
    <row r="1077" ht="14.1" customHeight="1"/>
    <row r="1078" ht="14.1" customHeight="1"/>
    <row r="1079" ht="14.1" customHeight="1"/>
    <row r="1080" ht="14.1" customHeight="1"/>
    <row r="1081" ht="14.1" customHeight="1"/>
    <row r="1082" ht="14.1" customHeight="1"/>
    <row r="1083" ht="14.1" customHeight="1"/>
    <row r="1084" ht="14.1" customHeight="1"/>
    <row r="1085" ht="14.1" customHeight="1"/>
    <row r="1086" ht="14.1" customHeight="1"/>
    <row r="1087" ht="14.1" customHeight="1"/>
    <row r="1088" ht="14.1" customHeight="1"/>
    <row r="1089" ht="14.1" customHeight="1"/>
    <row r="1090" ht="14.1" customHeight="1"/>
    <row r="1091" ht="14.1" customHeight="1"/>
    <row r="1092" ht="14.1" customHeight="1"/>
    <row r="1093" ht="14.1" customHeight="1"/>
    <row r="1094" ht="14.1" customHeight="1"/>
    <row r="1095" ht="14.1" customHeight="1"/>
    <row r="1096" ht="14.1" customHeight="1"/>
    <row r="1097" ht="14.1" customHeight="1"/>
    <row r="1098" ht="14.1" customHeight="1"/>
    <row r="1099" ht="14.1" customHeight="1"/>
    <row r="1100" ht="14.1" customHeight="1"/>
    <row r="1101" ht="14.1" customHeight="1"/>
    <row r="1102" ht="14.1" customHeight="1"/>
    <row r="1103" ht="14.1" customHeight="1"/>
    <row r="1104" ht="14.1" customHeight="1"/>
    <row r="1105" ht="14.1" customHeight="1"/>
    <row r="1106" ht="14.1" customHeight="1"/>
    <row r="1107" ht="14.1" customHeight="1"/>
    <row r="1108" ht="14.1" customHeight="1"/>
    <row r="1109" ht="14.1" customHeight="1"/>
    <row r="1110" ht="14.1" customHeight="1"/>
    <row r="1111" ht="14.1" customHeight="1"/>
    <row r="1112" ht="14.1" customHeight="1"/>
    <row r="1113" ht="14.1" customHeight="1"/>
    <row r="1114" ht="14.1" customHeight="1"/>
    <row r="1115" ht="14.1" customHeight="1"/>
    <row r="1116" ht="14.1" customHeight="1"/>
    <row r="1117" ht="14.1" customHeight="1"/>
    <row r="1118" ht="14.1" customHeight="1"/>
    <row r="1119" ht="14.1" customHeight="1"/>
    <row r="1120" ht="14.1" customHeight="1"/>
    <row r="1121" ht="14.1" customHeight="1"/>
    <row r="1122" ht="14.1" customHeight="1"/>
    <row r="1123" ht="14.1" customHeight="1"/>
    <row r="1124" ht="14.1" customHeight="1"/>
    <row r="1125" ht="14.1" customHeight="1"/>
    <row r="1126" ht="14.1" customHeight="1"/>
    <row r="1127" ht="14.1" customHeight="1"/>
    <row r="1128" ht="14.1" customHeight="1"/>
    <row r="1129" ht="14.1" customHeight="1"/>
    <row r="1130" ht="14.1" customHeight="1"/>
    <row r="1131" ht="14.1" customHeight="1"/>
    <row r="1132" ht="14.1" customHeight="1"/>
    <row r="1133" ht="14.1" customHeight="1"/>
    <row r="1134" ht="14.1" customHeight="1"/>
    <row r="1135" ht="14.1" customHeight="1"/>
    <row r="1136" ht="14.1" customHeight="1"/>
    <row r="1137" ht="14.1" customHeight="1"/>
    <row r="1138" ht="14.1" customHeight="1"/>
    <row r="1139" ht="14.1" customHeight="1"/>
    <row r="1140" ht="14.1" customHeight="1"/>
    <row r="1141" ht="14.1" customHeight="1"/>
    <row r="1142" ht="14.1" customHeight="1"/>
    <row r="1143" ht="14.1" customHeight="1"/>
    <row r="1144" ht="14.1" customHeight="1"/>
    <row r="1145" ht="14.1" customHeight="1"/>
    <row r="1146" ht="14.1" customHeight="1"/>
    <row r="1147" ht="14.1" customHeight="1"/>
    <row r="1148" ht="14.1" customHeight="1"/>
    <row r="1149" ht="14.1" customHeight="1"/>
    <row r="1150" ht="14.1" customHeight="1"/>
    <row r="1151" ht="14.1" customHeight="1"/>
    <row r="1152" ht="14.1" customHeight="1"/>
    <row r="1153" ht="14.1" customHeight="1"/>
    <row r="1154" ht="14.1" customHeight="1"/>
    <row r="1155" ht="14.1" customHeight="1"/>
    <row r="1156" ht="14.1" customHeight="1"/>
    <row r="1157" ht="14.1" customHeight="1"/>
    <row r="1158" ht="14.1" customHeight="1"/>
    <row r="1159" ht="14.1" customHeight="1"/>
    <row r="1160" ht="14.1" customHeight="1"/>
    <row r="1161" ht="14.1" customHeight="1"/>
    <row r="1162" ht="14.1" customHeight="1"/>
    <row r="1163" ht="14.1" customHeight="1"/>
    <row r="1164" ht="14.1" customHeight="1"/>
    <row r="1165" ht="14.1" customHeight="1"/>
    <row r="1166" ht="14.1" customHeight="1"/>
    <row r="1167" ht="14.1" customHeight="1"/>
    <row r="1168" ht="14.1" customHeight="1"/>
    <row r="1169" ht="14.1" customHeight="1"/>
    <row r="1170" ht="14.1" customHeight="1"/>
    <row r="1171" ht="14.1" customHeight="1"/>
    <row r="1172" ht="14.1" customHeight="1"/>
    <row r="1173" ht="14.1" customHeight="1"/>
    <row r="1174" ht="14.1" customHeight="1"/>
    <row r="1175" ht="14.1" customHeight="1"/>
    <row r="1176" ht="14.1" customHeight="1"/>
    <row r="1177" ht="14.1" customHeight="1"/>
    <row r="1178" ht="14.1" customHeight="1"/>
    <row r="1179" ht="14.1" customHeight="1"/>
    <row r="1180" ht="14.1" customHeight="1"/>
    <row r="1181" ht="14.1" customHeight="1"/>
    <row r="1182" ht="14.1" customHeight="1"/>
    <row r="1183" ht="14.1" customHeight="1"/>
    <row r="1184" ht="14.1" customHeight="1"/>
    <row r="1185" ht="14.1" customHeight="1"/>
    <row r="1186" ht="14.1" customHeight="1"/>
    <row r="1187" ht="14.1" customHeight="1"/>
    <row r="1188" ht="14.1" customHeight="1"/>
    <row r="1189" ht="14.1" customHeight="1"/>
    <row r="1190" ht="14.1" customHeight="1"/>
    <row r="1191" ht="14.1" customHeight="1"/>
    <row r="1192" ht="14.1" customHeight="1"/>
    <row r="1193" ht="14.1" customHeight="1"/>
    <row r="1194" ht="14.1" customHeight="1"/>
    <row r="1195" ht="14.1" customHeight="1"/>
    <row r="1196" ht="14.1" customHeight="1"/>
    <row r="1197" ht="14.1" customHeight="1"/>
    <row r="1198" ht="14.1" customHeight="1"/>
    <row r="1199" ht="14.1" customHeight="1"/>
    <row r="1200" ht="14.1" customHeight="1"/>
    <row r="1201" ht="14.1" customHeight="1"/>
    <row r="1202" ht="14.1" customHeight="1"/>
    <row r="1203" ht="14.1" customHeight="1"/>
    <row r="1204" ht="14.1" customHeight="1"/>
    <row r="1205" ht="14.1" customHeight="1"/>
    <row r="1206" ht="14.1" customHeight="1"/>
    <row r="1207" ht="14.1" customHeight="1"/>
    <row r="1208" ht="14.1" customHeight="1"/>
    <row r="1209" ht="14.1" customHeight="1"/>
    <row r="1210" ht="14.1" customHeight="1"/>
    <row r="1211" ht="14.1" customHeight="1"/>
    <row r="1212" ht="14.1" customHeight="1"/>
    <row r="1213" ht="14.1" customHeight="1"/>
    <row r="1214" ht="14.1" customHeight="1"/>
    <row r="1215" ht="14.1" customHeight="1"/>
    <row r="1216" ht="14.1" customHeight="1"/>
    <row r="1217" ht="14.1" customHeight="1"/>
    <row r="1218" ht="14.1" customHeight="1"/>
    <row r="1219" ht="14.1" customHeight="1"/>
    <row r="1220" ht="14.1" customHeight="1"/>
    <row r="1221" ht="14.1" customHeight="1"/>
    <row r="1222" ht="14.1" customHeight="1"/>
    <row r="1223" ht="14.1" customHeight="1"/>
    <row r="1224" ht="14.1" customHeight="1"/>
    <row r="1225" ht="14.1" customHeight="1"/>
    <row r="1226" ht="14.1" customHeight="1"/>
    <row r="1227" ht="14.1" customHeight="1"/>
    <row r="1228" ht="14.1" customHeight="1"/>
    <row r="1229" ht="14.1" customHeight="1"/>
    <row r="1230" ht="14.1" customHeight="1"/>
    <row r="1231" ht="14.1" customHeight="1"/>
    <row r="1232" ht="14.1" customHeight="1"/>
    <row r="1233" ht="14.1" customHeight="1"/>
    <row r="1234" ht="14.1" customHeight="1"/>
    <row r="1235" ht="14.1" customHeight="1"/>
    <row r="1236" ht="14.1" customHeight="1"/>
    <row r="1237" ht="14.1" customHeight="1"/>
    <row r="1238" ht="14.1" customHeight="1"/>
    <row r="1239" ht="14.1" customHeight="1"/>
    <row r="1240" ht="14.1" customHeight="1"/>
    <row r="1241" ht="14.1" customHeight="1"/>
    <row r="1242" ht="14.1" customHeight="1"/>
    <row r="1243" ht="14.1" customHeight="1"/>
    <row r="1244" ht="14.1" customHeight="1"/>
    <row r="1245" ht="14.1" customHeight="1"/>
    <row r="1246" ht="14.1" customHeight="1"/>
  </sheetData>
  <pageMargins left="0.25" right="0.25" top="0.75" bottom="0.5" header="0.25" footer="0.25"/>
  <pageSetup scale="65" fitToWidth="0" fitToHeight="0" orientation="landscape" r:id="rId1"/>
  <headerFooter>
    <oddHeader>&amp;CElectric Revenue Summary by Rate
Electric by State
August 31, 2019</oddHeader>
    <oddFooter>&amp;L&amp;D &amp;T
Prepared by Samantha Williamson&amp;R&amp;F &amp;A</oddFooter>
  </headerFooter>
  <rowBreaks count="3" manualBreakCount="3">
    <brk id="49" max="16383" man="1"/>
    <brk id="151" max="16383" man="1"/>
    <brk id="4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24"/>
  <sheetViews>
    <sheetView tabSelected="1" topLeftCell="H1" zoomScaleNormal="100" workbookViewId="0">
      <selection activeCell="Q10" sqref="Q10"/>
    </sheetView>
  </sheetViews>
  <sheetFormatPr defaultColWidth="9.140625" defaultRowHeight="12.75"/>
  <cols>
    <col min="1" max="1" width="10.28515625" style="1" customWidth="1"/>
    <col min="2" max="3" width="12.85546875" style="40" bestFit="1" customWidth="1"/>
    <col min="4" max="4" width="15.7109375" style="40" bestFit="1" customWidth="1"/>
    <col min="5" max="5" width="10.28515625" style="42" customWidth="1"/>
    <col min="6" max="6" width="2.7109375" style="42" customWidth="1"/>
    <col min="7" max="7" width="11.7109375" style="40" customWidth="1"/>
    <col min="8" max="8" width="13.28515625" style="40" bestFit="1" customWidth="1"/>
    <col min="9" max="9" width="12.85546875" style="40" bestFit="1" customWidth="1"/>
    <col min="10" max="10" width="15.7109375" style="40" bestFit="1" customWidth="1"/>
    <col min="11" max="11" width="8.85546875" style="42" customWidth="1"/>
    <col min="12" max="12" width="2.7109375" style="42" customWidth="1"/>
    <col min="13" max="13" width="10.42578125" style="1" customWidth="1"/>
    <col min="14" max="14" width="13.28515625" style="1" customWidth="1"/>
    <col min="15" max="15" width="11.7109375" style="1" customWidth="1"/>
    <col min="16" max="16" width="15.7109375" style="1" customWidth="1"/>
    <col min="17" max="16384" width="9.140625" style="1"/>
  </cols>
  <sheetData>
    <row r="1" spans="1:15">
      <c r="O1" s="162" t="s">
        <v>247</v>
      </c>
    </row>
    <row r="2" spans="1:15">
      <c r="O2" s="162" t="s">
        <v>246</v>
      </c>
    </row>
    <row r="3" spans="1:15">
      <c r="A3" s="163" t="s">
        <v>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5">
      <c r="A4" s="164" t="s">
        <v>245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>
      <c r="A5" s="52" t="s">
        <v>181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>
      <c r="A6" s="166" t="s">
        <v>2</v>
      </c>
      <c r="B6" s="166"/>
      <c r="C6" s="166"/>
      <c r="D6" s="166"/>
      <c r="E6" s="166"/>
      <c r="F6" s="52"/>
      <c r="G6" s="166" t="s">
        <v>3</v>
      </c>
      <c r="H6" s="166"/>
      <c r="I6" s="166"/>
      <c r="J6" s="166"/>
      <c r="K6" s="166"/>
      <c r="L6" s="52"/>
      <c r="M6" s="52"/>
      <c r="N6" s="52"/>
      <c r="O6" s="52"/>
    </row>
    <row r="7" spans="1:15" ht="12.75" customHeight="1">
      <c r="A7" s="167" t="s">
        <v>209</v>
      </c>
      <c r="B7" s="168"/>
      <c r="C7" s="168"/>
      <c r="D7" s="168"/>
      <c r="E7" s="169"/>
      <c r="F7" s="2"/>
      <c r="G7" s="167" t="s">
        <v>245</v>
      </c>
      <c r="H7" s="168"/>
      <c r="I7" s="168"/>
      <c r="J7" s="168"/>
      <c r="K7" s="169"/>
      <c r="L7" s="2"/>
      <c r="M7" s="170" t="s">
        <v>4</v>
      </c>
      <c r="N7" s="171"/>
      <c r="O7" s="172"/>
    </row>
    <row r="8" spans="1:15">
      <c r="A8" s="3" t="s">
        <v>5</v>
      </c>
      <c r="B8" s="4"/>
      <c r="C8" s="4"/>
      <c r="D8" s="5">
        <v>429070000</v>
      </c>
      <c r="E8" s="6"/>
      <c r="F8" s="7"/>
      <c r="G8" s="3" t="s">
        <v>5</v>
      </c>
      <c r="H8" s="4"/>
      <c r="I8" s="4"/>
      <c r="J8" s="5">
        <v>465738000</v>
      </c>
      <c r="K8" s="6"/>
      <c r="L8" s="7"/>
      <c r="M8" s="8"/>
      <c r="N8" s="8"/>
      <c r="O8" s="9"/>
    </row>
    <row r="9" spans="1:15">
      <c r="A9" s="3" t="s">
        <v>6</v>
      </c>
      <c r="B9" s="4"/>
      <c r="C9" s="4"/>
      <c r="D9" s="5">
        <v>-25362528</v>
      </c>
      <c r="E9" s="6"/>
      <c r="F9" s="7"/>
      <c r="G9" s="3" t="s">
        <v>6</v>
      </c>
      <c r="H9" s="4"/>
      <c r="I9" s="4"/>
      <c r="J9" s="5">
        <v>-25991166</v>
      </c>
      <c r="K9" s="6"/>
      <c r="L9" s="7"/>
      <c r="M9" s="8"/>
      <c r="N9" s="8"/>
      <c r="O9" s="9"/>
    </row>
    <row r="10" spans="1:15">
      <c r="A10" s="3" t="s">
        <v>7</v>
      </c>
      <c r="B10" s="4"/>
      <c r="C10" s="4"/>
      <c r="D10" s="5">
        <v>403707472</v>
      </c>
      <c r="E10" s="6"/>
      <c r="F10" s="7"/>
      <c r="G10" s="3" t="s">
        <v>7</v>
      </c>
      <c r="H10" s="4"/>
      <c r="I10" s="4"/>
      <c r="J10" s="5">
        <v>439746834</v>
      </c>
      <c r="K10" s="6"/>
      <c r="L10" s="7"/>
      <c r="M10" s="8"/>
      <c r="N10" s="8"/>
      <c r="O10" s="9"/>
    </row>
    <row r="11" spans="1:15">
      <c r="A11" s="3" t="s">
        <v>8</v>
      </c>
      <c r="B11" s="4"/>
      <c r="C11" s="4"/>
      <c r="D11" s="4">
        <v>-26644693</v>
      </c>
      <c r="E11" s="6"/>
      <c r="F11" s="7"/>
      <c r="G11" s="3" t="s">
        <v>8</v>
      </c>
      <c r="H11" s="4"/>
      <c r="I11" s="4"/>
      <c r="J11" s="4">
        <v>-27352253</v>
      </c>
      <c r="K11" s="6"/>
      <c r="L11" s="7"/>
      <c r="M11" s="8"/>
      <c r="N11" s="8"/>
      <c r="O11" s="9"/>
    </row>
    <row r="12" spans="1:15">
      <c r="A12" s="3" t="s">
        <v>9</v>
      </c>
      <c r="B12" s="4"/>
      <c r="C12" s="4"/>
      <c r="D12" s="4">
        <v>0</v>
      </c>
      <c r="E12" s="6"/>
      <c r="F12" s="7"/>
      <c r="G12" s="10" t="s">
        <v>9</v>
      </c>
      <c r="H12" s="4"/>
      <c r="I12" s="4"/>
      <c r="J12" s="4">
        <v>0</v>
      </c>
      <c r="K12" s="6"/>
      <c r="L12" s="7"/>
      <c r="M12" s="8"/>
      <c r="N12" s="8"/>
      <c r="O12" s="9"/>
    </row>
    <row r="13" spans="1:15">
      <c r="A13" s="3" t="s">
        <v>10</v>
      </c>
      <c r="B13" s="4"/>
      <c r="C13" s="4"/>
      <c r="D13" s="5">
        <v>360630824</v>
      </c>
      <c r="E13" s="6"/>
      <c r="F13" s="7"/>
      <c r="G13" s="3" t="s">
        <v>10</v>
      </c>
      <c r="H13" s="4"/>
      <c r="I13" s="4"/>
      <c r="J13" s="5">
        <v>404333747</v>
      </c>
      <c r="K13" s="6"/>
      <c r="L13" s="7"/>
      <c r="M13" s="8"/>
      <c r="N13" s="8"/>
      <c r="O13" s="9"/>
    </row>
    <row r="14" spans="1:15">
      <c r="A14" s="3" t="s">
        <v>188</v>
      </c>
      <c r="B14" s="4"/>
      <c r="C14" s="4"/>
      <c r="D14" s="5">
        <v>106948434</v>
      </c>
      <c r="E14" s="6"/>
      <c r="F14" s="7"/>
      <c r="G14" s="54" t="s">
        <v>188</v>
      </c>
      <c r="H14" s="4"/>
      <c r="I14" s="4"/>
      <c r="J14" s="5">
        <v>127548845</v>
      </c>
      <c r="K14" s="6"/>
      <c r="L14" s="7"/>
      <c r="M14" s="8"/>
      <c r="N14" s="8"/>
      <c r="O14" s="9"/>
    </row>
    <row r="15" spans="1:15">
      <c r="A15" s="3" t="s">
        <v>11</v>
      </c>
      <c r="B15" s="4"/>
      <c r="C15" s="4"/>
      <c r="D15" s="5">
        <v>85457880</v>
      </c>
      <c r="E15" s="6"/>
      <c r="F15" s="7"/>
      <c r="G15" s="3" t="s">
        <v>11</v>
      </c>
      <c r="H15" s="4"/>
      <c r="I15" s="4"/>
      <c r="J15" s="5">
        <v>84136260</v>
      </c>
      <c r="K15" s="6"/>
      <c r="L15" s="7"/>
      <c r="M15" s="8"/>
      <c r="N15" s="8"/>
      <c r="O15" s="9"/>
    </row>
    <row r="16" spans="1:15">
      <c r="A16" s="3" t="s">
        <v>200</v>
      </c>
      <c r="B16" s="4"/>
      <c r="C16" s="4"/>
      <c r="D16" s="11">
        <v>89626336</v>
      </c>
      <c r="E16" s="6"/>
      <c r="F16" s="7"/>
      <c r="G16" s="54" t="s">
        <v>200</v>
      </c>
      <c r="H16" s="4"/>
      <c r="I16" s="4"/>
      <c r="J16" s="11">
        <v>85457880</v>
      </c>
      <c r="K16" s="6"/>
      <c r="L16" s="7"/>
      <c r="M16" s="8"/>
      <c r="N16" s="8"/>
      <c r="O16" s="9"/>
    </row>
    <row r="17" spans="1:24">
      <c r="A17" s="12"/>
      <c r="B17" s="12"/>
      <c r="C17" s="12"/>
      <c r="D17" s="12"/>
      <c r="E17" s="6"/>
      <c r="F17" s="7"/>
      <c r="G17" s="12"/>
      <c r="H17" s="12"/>
      <c r="I17" s="12"/>
      <c r="J17" s="12"/>
      <c r="K17" s="6"/>
      <c r="L17" s="7"/>
      <c r="M17" s="8"/>
      <c r="N17" s="8"/>
      <c r="O17" s="9"/>
    </row>
    <row r="18" spans="1:24" ht="13.5" thickBot="1">
      <c r="A18" s="13" t="s">
        <v>12</v>
      </c>
      <c r="B18" s="12"/>
      <c r="C18" s="12"/>
      <c r="D18" s="14">
        <v>127548844.78</v>
      </c>
      <c r="E18" s="6"/>
      <c r="F18" s="7"/>
      <c r="G18" s="13" t="s">
        <v>12</v>
      </c>
      <c r="H18" s="12"/>
      <c r="I18" s="12"/>
      <c r="J18" s="14">
        <f>J8+J9+J11-J13+J14-J15+J16-0.22</f>
        <v>136931298.78</v>
      </c>
      <c r="K18" s="6"/>
      <c r="L18" s="7"/>
      <c r="M18" s="8"/>
      <c r="N18" s="8"/>
      <c r="O18" s="9"/>
    </row>
    <row r="19" spans="1:24" ht="13.5" thickTop="1">
      <c r="A19" s="15"/>
      <c r="B19" s="16"/>
      <c r="C19" s="16"/>
      <c r="D19" s="16"/>
      <c r="E19" s="17"/>
      <c r="F19" s="7"/>
      <c r="G19" s="15"/>
      <c r="H19" s="16"/>
      <c r="I19" s="16"/>
      <c r="J19" s="16"/>
      <c r="K19" s="17"/>
      <c r="L19" s="7"/>
      <c r="M19" s="18"/>
      <c r="N19" s="19"/>
      <c r="O19" s="20"/>
    </row>
    <row r="20" spans="1:24">
      <c r="A20" s="12"/>
      <c r="B20" s="12"/>
      <c r="C20" s="12"/>
      <c r="D20" s="12"/>
      <c r="E20" s="6"/>
      <c r="F20" s="7"/>
      <c r="G20" s="12"/>
      <c r="H20" s="12"/>
      <c r="I20" s="12"/>
      <c r="J20" s="12"/>
      <c r="K20" s="6"/>
      <c r="L20" s="7"/>
      <c r="M20" s="8"/>
      <c r="N20" s="8"/>
      <c r="O20" s="9"/>
    </row>
    <row r="21" spans="1:24">
      <c r="A21" s="173" t="s">
        <v>13</v>
      </c>
      <c r="B21" s="174"/>
      <c r="C21" s="174"/>
      <c r="D21" s="174"/>
      <c r="E21" s="175"/>
      <c r="F21" s="7"/>
      <c r="G21" s="173" t="s">
        <v>13</v>
      </c>
      <c r="H21" s="174"/>
      <c r="I21" s="174"/>
      <c r="J21" s="174"/>
      <c r="K21" s="175"/>
      <c r="L21" s="7"/>
      <c r="M21" s="173" t="s">
        <v>13</v>
      </c>
      <c r="N21" s="174"/>
      <c r="O21" s="175"/>
    </row>
    <row r="22" spans="1:24">
      <c r="A22" s="21"/>
      <c r="B22" s="21"/>
      <c r="C22" s="21"/>
      <c r="D22" s="21"/>
      <c r="E22" s="22"/>
      <c r="F22" s="23"/>
      <c r="G22" s="21"/>
      <c r="H22" s="21"/>
      <c r="I22" s="21"/>
      <c r="J22" s="21"/>
      <c r="K22" s="22"/>
      <c r="L22" s="24"/>
      <c r="M22" s="8"/>
      <c r="N22" s="21"/>
      <c r="O22" s="25"/>
    </row>
    <row r="23" spans="1:24">
      <c r="A23" s="26"/>
      <c r="B23" s="26"/>
      <c r="C23" s="26" t="s">
        <v>0</v>
      </c>
      <c r="D23" s="26" t="s">
        <v>14</v>
      </c>
      <c r="E23" s="27"/>
      <c r="F23" s="28"/>
      <c r="G23" s="26"/>
      <c r="H23" s="26"/>
      <c r="I23" s="26" t="s">
        <v>0</v>
      </c>
      <c r="J23" s="26" t="s">
        <v>14</v>
      </c>
      <c r="K23" s="27"/>
      <c r="L23" s="28"/>
      <c r="M23" s="8"/>
      <c r="N23" s="26"/>
      <c r="O23" s="9"/>
      <c r="X23" s="29"/>
    </row>
    <row r="24" spans="1:24">
      <c r="A24" s="30"/>
      <c r="B24" s="30" t="s">
        <v>0</v>
      </c>
      <c r="C24" s="30" t="s">
        <v>15</v>
      </c>
      <c r="D24" s="30" t="s">
        <v>15</v>
      </c>
      <c r="E24" s="31" t="s">
        <v>16</v>
      </c>
      <c r="F24" s="32"/>
      <c r="G24" s="30"/>
      <c r="H24" s="30" t="s">
        <v>0</v>
      </c>
      <c r="I24" s="30" t="s">
        <v>15</v>
      </c>
      <c r="J24" s="30" t="s">
        <v>15</v>
      </c>
      <c r="K24" s="31" t="s">
        <v>16</v>
      </c>
      <c r="L24" s="32"/>
      <c r="M24" s="8"/>
      <c r="N24" s="30" t="s">
        <v>0</v>
      </c>
      <c r="O24" s="33" t="s">
        <v>14</v>
      </c>
    </row>
    <row r="25" spans="1:24">
      <c r="A25" s="13" t="s">
        <v>17</v>
      </c>
      <c r="B25" s="21"/>
      <c r="C25" s="21"/>
      <c r="D25" s="21"/>
      <c r="E25" s="22"/>
      <c r="F25" s="24"/>
      <c r="G25" s="13" t="s">
        <v>17</v>
      </c>
      <c r="H25" s="21"/>
      <c r="I25" s="21"/>
      <c r="J25" s="21"/>
      <c r="K25" s="22"/>
      <c r="L25" s="24"/>
      <c r="M25" s="13" t="s">
        <v>17</v>
      </c>
      <c r="N25" s="21"/>
      <c r="O25" s="25"/>
    </row>
    <row r="26" spans="1:24">
      <c r="A26" s="8"/>
      <c r="B26" s="12"/>
      <c r="C26" s="12"/>
      <c r="D26" s="12"/>
      <c r="E26" s="6"/>
      <c r="F26" s="7"/>
      <c r="G26" s="8"/>
      <c r="H26" s="12"/>
      <c r="I26" s="12"/>
      <c r="J26" s="12"/>
      <c r="K26" s="6"/>
      <c r="L26" s="7"/>
      <c r="M26" s="8"/>
      <c r="N26" s="12"/>
      <c r="O26" s="34"/>
    </row>
    <row r="27" spans="1:24">
      <c r="A27" s="8" t="s">
        <v>18</v>
      </c>
      <c r="B27" s="5">
        <v>15972</v>
      </c>
      <c r="C27" s="12">
        <v>7801.5640213104653</v>
      </c>
      <c r="D27" s="12">
        <v>991.73481838898647</v>
      </c>
      <c r="E27" s="35">
        <v>0.12712000000000001</v>
      </c>
      <c r="F27" s="7"/>
      <c r="G27" s="8" t="s">
        <v>18</v>
      </c>
      <c r="H27" s="5">
        <v>16055</v>
      </c>
      <c r="I27" s="12">
        <f>H27/$H$222*$J$18</f>
        <v>7108.1376988569491</v>
      </c>
      <c r="J27" s="12">
        <f>IF(I27*K27&gt;0,I27*K27,0)</f>
        <v>876.22013413809611</v>
      </c>
      <c r="K27" s="35">
        <v>0.12327</v>
      </c>
      <c r="L27" s="7"/>
      <c r="M27" s="8" t="s">
        <v>18</v>
      </c>
      <c r="N27" s="12">
        <f t="shared" ref="N27:O30" si="0">I27-C27</f>
        <v>-693.42632245351615</v>
      </c>
      <c r="O27" s="34">
        <f t="shared" si="0"/>
        <v>-115.51468425089035</v>
      </c>
    </row>
    <row r="28" spans="1:24">
      <c r="A28" s="8" t="s">
        <v>19</v>
      </c>
      <c r="B28" s="5">
        <v>2744106</v>
      </c>
      <c r="C28" s="12">
        <v>1340365.5547371758</v>
      </c>
      <c r="D28" s="12">
        <v>170387.26931818979</v>
      </c>
      <c r="E28" s="6">
        <v>0.12712000000000001</v>
      </c>
      <c r="F28" s="7"/>
      <c r="G28" s="8" t="s">
        <v>19</v>
      </c>
      <c r="H28" s="5">
        <v>3609632</v>
      </c>
      <c r="I28" s="12">
        <f>H28/$H$222*$J$18</f>
        <v>1598116.5554780695</v>
      </c>
      <c r="J28" s="12">
        <f>IF(I28*K28&gt;0,I28*K28,0)</f>
        <v>196999.82779378162</v>
      </c>
      <c r="K28" s="6">
        <f>K27</f>
        <v>0.12327</v>
      </c>
      <c r="L28" s="7"/>
      <c r="M28" s="8" t="s">
        <v>19</v>
      </c>
      <c r="N28" s="12">
        <f>I28-C28</f>
        <v>257751.00074089365</v>
      </c>
      <c r="O28" s="34">
        <f t="shared" si="0"/>
        <v>26612.558475591824</v>
      </c>
    </row>
    <row r="29" spans="1:24">
      <c r="A29" s="8" t="s">
        <v>20</v>
      </c>
      <c r="B29" s="5">
        <v>0</v>
      </c>
      <c r="C29" s="12">
        <v>0</v>
      </c>
      <c r="D29" s="12">
        <v>0</v>
      </c>
      <c r="E29" s="6">
        <v>0.12712000000000001</v>
      </c>
      <c r="F29" s="7"/>
      <c r="G29" s="8" t="s">
        <v>20</v>
      </c>
      <c r="H29" s="5">
        <v>0</v>
      </c>
      <c r="I29" s="12">
        <f>H29/$H$222*$J$18</f>
        <v>0</v>
      </c>
      <c r="J29" s="12">
        <f>IF(I29*K29&gt;0,I29*K29,0)</f>
        <v>0</v>
      </c>
      <c r="K29" s="6">
        <f>K27</f>
        <v>0.12327</v>
      </c>
      <c r="L29" s="7"/>
      <c r="M29" s="8" t="s">
        <v>20</v>
      </c>
      <c r="N29" s="12">
        <f t="shared" si="0"/>
        <v>0</v>
      </c>
      <c r="O29" s="34">
        <f t="shared" si="0"/>
        <v>0</v>
      </c>
    </row>
    <row r="30" spans="1:24">
      <c r="A30" s="8" t="s">
        <v>21</v>
      </c>
      <c r="B30" s="36">
        <v>0</v>
      </c>
      <c r="C30" s="37">
        <v>0</v>
      </c>
      <c r="D30" s="37">
        <v>0</v>
      </c>
      <c r="E30" s="6">
        <v>0.12712000000000001</v>
      </c>
      <c r="F30" s="7"/>
      <c r="G30" s="8" t="s">
        <v>21</v>
      </c>
      <c r="H30" s="36">
        <v>0</v>
      </c>
      <c r="I30" s="37">
        <f>H30/$H$222*$J$18</f>
        <v>0</v>
      </c>
      <c r="J30" s="37">
        <f>IF(I30*K30&gt;0,I30*K30,0)</f>
        <v>0</v>
      </c>
      <c r="K30" s="6">
        <f>K27</f>
        <v>0.12327</v>
      </c>
      <c r="L30" s="7"/>
      <c r="M30" s="8" t="s">
        <v>21</v>
      </c>
      <c r="N30" s="37">
        <f t="shared" si="0"/>
        <v>0</v>
      </c>
      <c r="O30" s="38">
        <f t="shared" si="0"/>
        <v>0</v>
      </c>
    </row>
    <row r="31" spans="1:24">
      <c r="A31" s="8"/>
      <c r="B31" s="12"/>
      <c r="C31" s="12"/>
      <c r="D31" s="12"/>
      <c r="E31" s="6"/>
      <c r="F31" s="7"/>
      <c r="G31" s="8"/>
      <c r="H31" s="12"/>
      <c r="I31" s="12"/>
      <c r="J31" s="12"/>
      <c r="K31" s="6"/>
      <c r="L31" s="7"/>
      <c r="M31" s="8"/>
      <c r="N31" s="12"/>
      <c r="O31" s="34"/>
    </row>
    <row r="32" spans="1:24">
      <c r="A32" s="8" t="s">
        <v>22</v>
      </c>
      <c r="B32" s="12">
        <v>2760078</v>
      </c>
      <c r="C32" s="12">
        <v>1348168.1187584864</v>
      </c>
      <c r="D32" s="12">
        <v>171379.00413657879</v>
      </c>
      <c r="E32" s="6"/>
      <c r="F32" s="7"/>
      <c r="G32" s="8" t="s">
        <v>22</v>
      </c>
      <c r="H32" s="12">
        <f>SUM(H27:H31)</f>
        <v>3625687</v>
      </c>
      <c r="I32" s="12">
        <f>SUM(I27:I31)+1</f>
        <v>1605225.6931769263</v>
      </c>
      <c r="J32" s="12">
        <f>SUM(J27:J31)</f>
        <v>197876.04792791972</v>
      </c>
      <c r="K32" s="6"/>
      <c r="L32" s="7"/>
      <c r="M32" s="8" t="s">
        <v>22</v>
      </c>
      <c r="N32" s="12">
        <f>SUM(N27:N31)</f>
        <v>257057.57441844014</v>
      </c>
      <c r="O32" s="34">
        <f>SUM(O27:O31)</f>
        <v>26497.043791340933</v>
      </c>
    </row>
    <row r="33" spans="1:15">
      <c r="A33" s="8"/>
      <c r="B33" s="12"/>
      <c r="C33" s="12"/>
      <c r="D33" s="12"/>
      <c r="E33" s="6"/>
      <c r="F33" s="7"/>
      <c r="G33" s="8"/>
      <c r="H33" s="12"/>
      <c r="I33" s="12"/>
      <c r="J33" s="12"/>
      <c r="K33" s="6"/>
      <c r="L33" s="7"/>
      <c r="M33" s="8"/>
      <c r="N33" s="12"/>
      <c r="O33" s="34"/>
    </row>
    <row r="34" spans="1:15">
      <c r="A34" s="13" t="s">
        <v>23</v>
      </c>
      <c r="B34" s="12"/>
      <c r="C34" s="12"/>
      <c r="D34" s="12"/>
      <c r="E34" s="6"/>
      <c r="F34" s="7"/>
      <c r="G34" s="13" t="s">
        <v>23</v>
      </c>
      <c r="H34" s="12"/>
      <c r="I34" s="12"/>
      <c r="J34" s="12"/>
      <c r="K34" s="6"/>
      <c r="L34" s="7"/>
      <c r="M34" s="13" t="s">
        <v>23</v>
      </c>
      <c r="N34" s="12"/>
      <c r="O34" s="34"/>
    </row>
    <row r="35" spans="1:15">
      <c r="A35" s="8"/>
      <c r="B35" s="12"/>
      <c r="C35" s="12"/>
      <c r="D35" s="12"/>
      <c r="E35" s="6"/>
      <c r="F35" s="7"/>
      <c r="G35" s="8"/>
      <c r="H35" s="12"/>
      <c r="I35" s="12"/>
      <c r="J35" s="12"/>
      <c r="K35" s="6"/>
      <c r="L35" s="7"/>
      <c r="M35" s="8"/>
      <c r="N35" s="12"/>
      <c r="O35" s="34"/>
    </row>
    <row r="36" spans="1:15">
      <c r="A36" s="8" t="s">
        <v>24</v>
      </c>
      <c r="B36" s="5">
        <v>946284</v>
      </c>
      <c r="C36" s="12">
        <v>462214.82646767789</v>
      </c>
      <c r="D36" s="12">
        <v>46410.990725619537</v>
      </c>
      <c r="E36" s="35">
        <v>0.10041</v>
      </c>
      <c r="F36" s="7"/>
      <c r="G36" s="8" t="s">
        <v>24</v>
      </c>
      <c r="H36" s="5">
        <v>894409</v>
      </c>
      <c r="I36" s="12">
        <f t="shared" ref="I36:I43" si="1">H36/$H$222*$J$18</f>
        <v>395987.68801600405</v>
      </c>
      <c r="J36" s="12">
        <f t="shared" ref="J36:J43" si="2">IF(I36*K36&gt;0,I36*K36,0)</f>
        <v>39052.305792138315</v>
      </c>
      <c r="K36" s="35">
        <v>9.8619999999999999E-2</v>
      </c>
      <c r="L36" s="7"/>
      <c r="M36" s="8" t="s">
        <v>24</v>
      </c>
      <c r="N36" s="12">
        <f t="shared" ref="N36:O43" si="3">I36-C36</f>
        <v>-66227.138451673847</v>
      </c>
      <c r="O36" s="34">
        <f t="shared" si="3"/>
        <v>-7358.6849334812214</v>
      </c>
    </row>
    <row r="37" spans="1:15">
      <c r="A37" s="8" t="s">
        <v>25</v>
      </c>
      <c r="B37" s="5">
        <v>0</v>
      </c>
      <c r="C37" s="12">
        <v>0</v>
      </c>
      <c r="D37" s="12">
        <v>0</v>
      </c>
      <c r="E37" s="39">
        <v>0.10041</v>
      </c>
      <c r="F37" s="7"/>
      <c r="G37" s="8" t="s">
        <v>25</v>
      </c>
      <c r="H37" s="5">
        <v>0</v>
      </c>
      <c r="I37" s="12">
        <f t="shared" si="1"/>
        <v>0</v>
      </c>
      <c r="J37" s="12">
        <f t="shared" si="2"/>
        <v>0</v>
      </c>
      <c r="K37" s="39">
        <f>K36</f>
        <v>9.8619999999999999E-2</v>
      </c>
      <c r="L37" s="7"/>
      <c r="M37" s="8" t="s">
        <v>25</v>
      </c>
      <c r="N37" s="12">
        <f t="shared" si="3"/>
        <v>0</v>
      </c>
      <c r="O37" s="34">
        <f t="shared" si="3"/>
        <v>0</v>
      </c>
    </row>
    <row r="38" spans="1:15">
      <c r="A38" s="8" t="s">
        <v>18</v>
      </c>
      <c r="B38" s="5">
        <v>29071</v>
      </c>
      <c r="C38" s="12">
        <v>14199.803885769878</v>
      </c>
      <c r="D38" s="12">
        <v>1425.8023081701533</v>
      </c>
      <c r="E38" s="6">
        <v>0.10041</v>
      </c>
      <c r="F38" s="7"/>
      <c r="G38" s="8" t="s">
        <v>18</v>
      </c>
      <c r="H38" s="5">
        <v>29093</v>
      </c>
      <c r="I38" s="12">
        <f t="shared" si="1"/>
        <v>12880.538777505151</v>
      </c>
      <c r="J38" s="12">
        <f t="shared" si="2"/>
        <v>1270.278734237558</v>
      </c>
      <c r="K38" s="6">
        <f>K36</f>
        <v>9.8619999999999999E-2</v>
      </c>
      <c r="L38" s="7"/>
      <c r="M38" s="8" t="s">
        <v>18</v>
      </c>
      <c r="N38" s="12">
        <f t="shared" si="3"/>
        <v>-1319.2651082647262</v>
      </c>
      <c r="O38" s="34">
        <f t="shared" si="3"/>
        <v>-155.52357393259535</v>
      </c>
    </row>
    <row r="39" spans="1:15">
      <c r="A39" s="8" t="s">
        <v>26</v>
      </c>
      <c r="B39" s="5">
        <v>1235</v>
      </c>
      <c r="C39" s="12">
        <v>603.23889095407105</v>
      </c>
      <c r="D39" s="12">
        <v>60.571217040698272</v>
      </c>
      <c r="E39" s="6">
        <v>0.10041</v>
      </c>
      <c r="F39" s="7"/>
      <c r="G39" s="8" t="s">
        <v>26</v>
      </c>
      <c r="H39" s="5">
        <v>98</v>
      </c>
      <c r="I39" s="12">
        <f t="shared" si="1"/>
        <v>43.388196480098472</v>
      </c>
      <c r="J39" s="12">
        <f t="shared" si="2"/>
        <v>4.2789439368673117</v>
      </c>
      <c r="K39" s="6">
        <f>K36</f>
        <v>9.8619999999999999E-2</v>
      </c>
      <c r="L39" s="7"/>
      <c r="M39" s="8" t="s">
        <v>26</v>
      </c>
      <c r="N39" s="12">
        <f t="shared" si="3"/>
        <v>-559.85069447397257</v>
      </c>
      <c r="O39" s="34">
        <f t="shared" si="3"/>
        <v>-56.292273103830958</v>
      </c>
    </row>
    <row r="40" spans="1:15">
      <c r="A40" s="8" t="s">
        <v>27</v>
      </c>
      <c r="B40" s="5">
        <v>0</v>
      </c>
      <c r="C40" s="12">
        <v>0</v>
      </c>
      <c r="D40" s="12">
        <v>0</v>
      </c>
      <c r="E40" s="6">
        <v>0.10041</v>
      </c>
      <c r="F40" s="7"/>
      <c r="G40" s="8" t="s">
        <v>27</v>
      </c>
      <c r="H40" s="5">
        <v>0</v>
      </c>
      <c r="I40" s="12">
        <f t="shared" si="1"/>
        <v>0</v>
      </c>
      <c r="J40" s="12">
        <f t="shared" si="2"/>
        <v>0</v>
      </c>
      <c r="K40" s="6">
        <f>K36</f>
        <v>9.8619999999999999E-2</v>
      </c>
      <c r="L40" s="7"/>
      <c r="M40" s="8" t="s">
        <v>27</v>
      </c>
      <c r="N40" s="12">
        <f t="shared" si="3"/>
        <v>0</v>
      </c>
      <c r="O40" s="34">
        <f t="shared" si="3"/>
        <v>0</v>
      </c>
    </row>
    <row r="41" spans="1:15">
      <c r="A41" s="8" t="s">
        <v>28</v>
      </c>
      <c r="B41" s="5">
        <v>1503904</v>
      </c>
      <c r="C41" s="12">
        <v>734585.73365294852</v>
      </c>
      <c r="D41" s="12">
        <v>73759.753516092562</v>
      </c>
      <c r="E41" s="6">
        <v>0.10041</v>
      </c>
      <c r="F41" s="7"/>
      <c r="G41" s="8" t="s">
        <v>28</v>
      </c>
      <c r="H41" s="5">
        <v>1487803</v>
      </c>
      <c r="I41" s="12">
        <f t="shared" si="1"/>
        <v>658704.98864979553</v>
      </c>
      <c r="J41" s="12">
        <f t="shared" si="2"/>
        <v>64961.485980642836</v>
      </c>
      <c r="K41" s="6">
        <f>K36</f>
        <v>9.8619999999999999E-2</v>
      </c>
      <c r="L41" s="7"/>
      <c r="M41" s="8" t="s">
        <v>28</v>
      </c>
      <c r="N41" s="12">
        <f t="shared" si="3"/>
        <v>-75880.745003152988</v>
      </c>
      <c r="O41" s="34">
        <f t="shared" si="3"/>
        <v>-8798.267535449726</v>
      </c>
    </row>
    <row r="42" spans="1:15">
      <c r="A42" s="8" t="s">
        <v>29</v>
      </c>
      <c r="B42" s="5">
        <v>0</v>
      </c>
      <c r="C42" s="12">
        <v>0</v>
      </c>
      <c r="D42" s="12">
        <v>0</v>
      </c>
      <c r="E42" s="6">
        <v>0.10041</v>
      </c>
      <c r="F42" s="7"/>
      <c r="G42" s="8" t="s">
        <v>29</v>
      </c>
      <c r="H42" s="5">
        <v>0</v>
      </c>
      <c r="I42" s="12">
        <f t="shared" si="1"/>
        <v>0</v>
      </c>
      <c r="J42" s="12">
        <f t="shared" si="2"/>
        <v>0</v>
      </c>
      <c r="K42" s="6">
        <f>K36</f>
        <v>9.8619999999999999E-2</v>
      </c>
      <c r="L42" s="7"/>
      <c r="M42" s="8" t="s">
        <v>29</v>
      </c>
      <c r="N42" s="12">
        <f t="shared" si="3"/>
        <v>0</v>
      </c>
      <c r="O42" s="34">
        <f t="shared" si="3"/>
        <v>0</v>
      </c>
    </row>
    <row r="43" spans="1:15">
      <c r="A43" s="40" t="s">
        <v>30</v>
      </c>
      <c r="B43" s="41">
        <v>0</v>
      </c>
      <c r="C43" s="37">
        <v>0</v>
      </c>
      <c r="D43" s="37">
        <v>0</v>
      </c>
      <c r="E43" s="6">
        <v>0.10041</v>
      </c>
      <c r="F43" s="7"/>
      <c r="G43" s="40" t="s">
        <v>30</v>
      </c>
      <c r="H43" s="41">
        <v>0</v>
      </c>
      <c r="I43" s="37">
        <f t="shared" si="1"/>
        <v>0</v>
      </c>
      <c r="J43" s="37">
        <f t="shared" si="2"/>
        <v>0</v>
      </c>
      <c r="K43" s="6">
        <f>K36</f>
        <v>9.8619999999999999E-2</v>
      </c>
      <c r="L43" s="7"/>
      <c r="M43" s="1" t="s">
        <v>30</v>
      </c>
      <c r="N43" s="37">
        <f t="shared" si="3"/>
        <v>0</v>
      </c>
      <c r="O43" s="38">
        <f t="shared" si="3"/>
        <v>0</v>
      </c>
    </row>
    <row r="44" spans="1:15">
      <c r="A44" s="8"/>
      <c r="B44" s="12"/>
      <c r="C44" s="12"/>
      <c r="D44" s="12"/>
      <c r="E44" s="6"/>
      <c r="F44" s="7"/>
      <c r="G44" s="8"/>
      <c r="H44" s="12"/>
      <c r="I44" s="12"/>
      <c r="J44" s="12"/>
      <c r="K44" s="6"/>
      <c r="L44" s="7"/>
      <c r="M44" s="8"/>
      <c r="N44" s="12"/>
      <c r="O44" s="34"/>
    </row>
    <row r="45" spans="1:15">
      <c r="A45" s="8"/>
      <c r="B45" s="12"/>
      <c r="C45" s="12"/>
      <c r="D45" s="12"/>
      <c r="E45" s="6"/>
      <c r="F45" s="7"/>
      <c r="G45" s="8"/>
      <c r="H45" s="12"/>
      <c r="I45" s="12"/>
      <c r="J45" s="12"/>
      <c r="K45" s="6"/>
      <c r="L45" s="7"/>
      <c r="M45" s="8"/>
      <c r="N45" s="12"/>
      <c r="O45" s="34"/>
    </row>
    <row r="46" spans="1:15">
      <c r="A46" s="8" t="s">
        <v>22</v>
      </c>
      <c r="B46" s="12">
        <v>2480494</v>
      </c>
      <c r="C46" s="12">
        <v>1211603.6028973502</v>
      </c>
      <c r="D46" s="12">
        <v>121657.11776692295</v>
      </c>
      <c r="E46" s="6"/>
      <c r="F46" s="7"/>
      <c r="G46" s="8" t="s">
        <v>22</v>
      </c>
      <c r="H46" s="12">
        <f>SUM(H36:H44)</f>
        <v>2411403</v>
      </c>
      <c r="I46" s="12">
        <f>SUM(I36:I44)</f>
        <v>1067616.6036397847</v>
      </c>
      <c r="J46" s="12">
        <f>SUM(J36:J44)</f>
        <v>105288.34945095557</v>
      </c>
      <c r="K46" s="6"/>
      <c r="L46" s="7"/>
      <c r="M46" s="8" t="s">
        <v>22</v>
      </c>
      <c r="N46" s="12">
        <f>SUM(N36:N44)</f>
        <v>-143986.99925756553</v>
      </c>
      <c r="O46" s="34">
        <f>SUM(O36:O44)</f>
        <v>-16368.768315967372</v>
      </c>
    </row>
    <row r="47" spans="1:15">
      <c r="A47" s="40"/>
      <c r="F47" s="7"/>
      <c r="L47" s="7"/>
      <c r="O47" s="34"/>
    </row>
    <row r="48" spans="1:15">
      <c r="A48" s="13" t="s">
        <v>31</v>
      </c>
      <c r="B48" s="12"/>
      <c r="C48" s="12"/>
      <c r="D48" s="12"/>
      <c r="E48" s="6"/>
      <c r="F48" s="7"/>
      <c r="G48" s="13" t="s">
        <v>31</v>
      </c>
      <c r="H48" s="12"/>
      <c r="I48" s="12"/>
      <c r="J48" s="12"/>
      <c r="K48" s="6"/>
      <c r="L48" s="7"/>
      <c r="M48" s="13" t="s">
        <v>31</v>
      </c>
      <c r="N48" s="12"/>
      <c r="O48" s="34"/>
    </row>
    <row r="49" spans="1:24">
      <c r="A49" s="8"/>
      <c r="B49" s="12"/>
      <c r="C49" s="12"/>
      <c r="D49" s="12"/>
      <c r="E49" s="6"/>
      <c r="F49" s="7"/>
      <c r="G49" s="8"/>
      <c r="H49" s="12"/>
      <c r="I49" s="12"/>
      <c r="J49" s="12"/>
      <c r="K49" s="6"/>
      <c r="L49" s="7"/>
      <c r="M49" s="8"/>
      <c r="N49" s="12"/>
      <c r="O49" s="34"/>
    </row>
    <row r="50" spans="1:24">
      <c r="A50" s="8" t="s">
        <v>24</v>
      </c>
      <c r="B50" s="5">
        <v>2266</v>
      </c>
      <c r="C50" s="12">
        <v>1106.8334630784818</v>
      </c>
      <c r="D50" s="12">
        <v>82.204521302838842</v>
      </c>
      <c r="E50" s="35">
        <v>7.4270000000000003E-2</v>
      </c>
      <c r="F50" s="7"/>
      <c r="G50" s="8" t="s">
        <v>24</v>
      </c>
      <c r="H50" s="5">
        <v>239</v>
      </c>
      <c r="I50" s="12">
        <f t="shared" ref="I50:I55" si="4">H50/$H$222*$J$18</f>
        <v>105.8140710075871</v>
      </c>
      <c r="J50" s="12">
        <f t="shared" ref="J50:J56" si="5">IF(I50*K50&gt;0,I50*K50,0)</f>
        <v>7.8630436165737976</v>
      </c>
      <c r="K50" s="35">
        <v>7.4310000000000001E-2</v>
      </c>
      <c r="L50" s="7"/>
      <c r="M50" s="8" t="s">
        <v>24</v>
      </c>
      <c r="N50" s="12">
        <f t="shared" ref="N50:O56" si="6">I50-C50</f>
        <v>-1001.0193920708947</v>
      </c>
      <c r="O50" s="34">
        <f t="shared" si="6"/>
        <v>-74.341477686265051</v>
      </c>
    </row>
    <row r="51" spans="1:24">
      <c r="A51" s="8" t="s">
        <v>25</v>
      </c>
      <c r="B51" s="5">
        <v>0</v>
      </c>
      <c r="C51" s="12">
        <v>0</v>
      </c>
      <c r="D51" s="12">
        <v>0</v>
      </c>
      <c r="E51" s="6">
        <v>7.4270000000000003E-2</v>
      </c>
      <c r="F51" s="7"/>
      <c r="G51" s="8" t="s">
        <v>25</v>
      </c>
      <c r="H51" s="5">
        <v>0</v>
      </c>
      <c r="I51" s="12">
        <f t="shared" si="4"/>
        <v>0</v>
      </c>
      <c r="J51" s="12">
        <f t="shared" si="5"/>
        <v>0</v>
      </c>
      <c r="K51" s="6">
        <f>K50</f>
        <v>7.4310000000000001E-2</v>
      </c>
      <c r="L51" s="7"/>
      <c r="M51" s="8" t="s">
        <v>25</v>
      </c>
      <c r="N51" s="12">
        <f t="shared" si="6"/>
        <v>0</v>
      </c>
      <c r="O51" s="34">
        <f t="shared" si="6"/>
        <v>0</v>
      </c>
    </row>
    <row r="52" spans="1:24">
      <c r="A52" s="8" t="s">
        <v>27</v>
      </c>
      <c r="B52" s="5">
        <v>0</v>
      </c>
      <c r="C52" s="12">
        <v>0</v>
      </c>
      <c r="D52" s="12">
        <v>0</v>
      </c>
      <c r="E52" s="6">
        <v>7.4270000000000003E-2</v>
      </c>
      <c r="F52" s="7"/>
      <c r="G52" s="8" t="s">
        <v>27</v>
      </c>
      <c r="H52" s="5">
        <v>0</v>
      </c>
      <c r="I52" s="12">
        <f t="shared" si="4"/>
        <v>0</v>
      </c>
      <c r="J52" s="12">
        <f t="shared" si="5"/>
        <v>0</v>
      </c>
      <c r="K52" s="6">
        <f>K50</f>
        <v>7.4310000000000001E-2</v>
      </c>
      <c r="L52" s="7"/>
      <c r="M52" s="8" t="s">
        <v>27</v>
      </c>
      <c r="N52" s="12">
        <f t="shared" si="6"/>
        <v>0</v>
      </c>
      <c r="O52" s="34">
        <f t="shared" si="6"/>
        <v>0</v>
      </c>
    </row>
    <row r="53" spans="1:24">
      <c r="A53" s="8" t="s">
        <v>32</v>
      </c>
      <c r="B53" s="5">
        <v>0</v>
      </c>
      <c r="C53" s="12">
        <v>0</v>
      </c>
      <c r="D53" s="12">
        <v>0</v>
      </c>
      <c r="E53" s="6">
        <v>7.4270000000000003E-2</v>
      </c>
      <c r="F53" s="7"/>
      <c r="G53" s="8" t="s">
        <v>32</v>
      </c>
      <c r="H53" s="5">
        <v>0</v>
      </c>
      <c r="I53" s="12">
        <f t="shared" si="4"/>
        <v>0</v>
      </c>
      <c r="J53" s="12">
        <f t="shared" si="5"/>
        <v>0</v>
      </c>
      <c r="K53" s="6">
        <f>K50</f>
        <v>7.4310000000000001E-2</v>
      </c>
      <c r="L53" s="7"/>
      <c r="M53" s="8" t="s">
        <v>32</v>
      </c>
      <c r="N53" s="12">
        <f t="shared" si="6"/>
        <v>0</v>
      </c>
      <c r="O53" s="34">
        <f t="shared" si="6"/>
        <v>0</v>
      </c>
    </row>
    <row r="54" spans="1:24">
      <c r="A54" s="8" t="s">
        <v>28</v>
      </c>
      <c r="B54" s="5">
        <v>451786</v>
      </c>
      <c r="C54" s="12">
        <v>220676.02071949473</v>
      </c>
      <c r="D54" s="12">
        <v>16389.608058836875</v>
      </c>
      <c r="E54" s="6">
        <v>7.4270000000000003E-2</v>
      </c>
      <c r="F54" s="7"/>
      <c r="G54" s="8" t="s">
        <v>28</v>
      </c>
      <c r="H54" s="5">
        <v>472714</v>
      </c>
      <c r="I54" s="12">
        <f t="shared" si="4"/>
        <v>209287.83582544155</v>
      </c>
      <c r="J54" s="12">
        <f t="shared" si="5"/>
        <v>15552.179080188562</v>
      </c>
      <c r="K54" s="6">
        <f>K50</f>
        <v>7.4310000000000001E-2</v>
      </c>
      <c r="L54" s="7"/>
      <c r="M54" s="8" t="s">
        <v>28</v>
      </c>
      <c r="N54" s="12">
        <f t="shared" si="6"/>
        <v>-11388.184894053178</v>
      </c>
      <c r="O54" s="34">
        <f t="shared" si="6"/>
        <v>-837.4289786483132</v>
      </c>
    </row>
    <row r="55" spans="1:24">
      <c r="A55" s="8" t="s">
        <v>33</v>
      </c>
      <c r="B55" s="5">
        <v>0</v>
      </c>
      <c r="C55" s="12">
        <v>0</v>
      </c>
      <c r="D55" s="12">
        <v>0</v>
      </c>
      <c r="E55" s="6">
        <v>7.4270000000000003E-2</v>
      </c>
      <c r="F55" s="7"/>
      <c r="G55" s="8" t="s">
        <v>33</v>
      </c>
      <c r="H55" s="5">
        <v>0</v>
      </c>
      <c r="I55" s="12">
        <f t="shared" si="4"/>
        <v>0</v>
      </c>
      <c r="J55" s="12">
        <f t="shared" si="5"/>
        <v>0</v>
      </c>
      <c r="K55" s="6">
        <f>K50</f>
        <v>7.4310000000000001E-2</v>
      </c>
      <c r="L55" s="7"/>
      <c r="M55" s="8" t="s">
        <v>33</v>
      </c>
      <c r="N55" s="12">
        <f t="shared" si="6"/>
        <v>0</v>
      </c>
      <c r="O55" s="34">
        <f t="shared" si="6"/>
        <v>0</v>
      </c>
    </row>
    <row r="56" spans="1:24">
      <c r="A56" s="8" t="s">
        <v>29</v>
      </c>
      <c r="B56" s="36">
        <v>593859</v>
      </c>
      <c r="C56" s="37">
        <v>290071.93890129041</v>
      </c>
      <c r="D56" s="37">
        <v>21543.642902198841</v>
      </c>
      <c r="E56" s="6">
        <v>7.4270000000000003E-2</v>
      </c>
      <c r="F56" s="7"/>
      <c r="G56" s="8" t="s">
        <v>29</v>
      </c>
      <c r="H56" s="36">
        <v>229059</v>
      </c>
      <c r="I56" s="37">
        <f>H56/$H$222*$J$18</f>
        <v>101412.82548504978</v>
      </c>
      <c r="J56" s="37">
        <f t="shared" si="5"/>
        <v>7535.9870617940487</v>
      </c>
      <c r="K56" s="6">
        <f>K50</f>
        <v>7.4310000000000001E-2</v>
      </c>
      <c r="L56" s="7"/>
      <c r="M56" s="8" t="s">
        <v>29</v>
      </c>
      <c r="N56" s="37">
        <f t="shared" si="6"/>
        <v>-188659.11341624064</v>
      </c>
      <c r="O56" s="38">
        <f t="shared" si="6"/>
        <v>-14007.655840404792</v>
      </c>
    </row>
    <row r="57" spans="1:24">
      <c r="A57" s="8"/>
      <c r="B57" s="12"/>
      <c r="C57" s="12"/>
      <c r="D57" s="12"/>
      <c r="E57" s="6"/>
      <c r="F57" s="7"/>
      <c r="G57" s="8"/>
      <c r="H57" s="12"/>
      <c r="I57" s="12"/>
      <c r="J57" s="12"/>
      <c r="K57" s="6"/>
      <c r="L57" s="7"/>
      <c r="M57" s="8"/>
      <c r="N57" s="12"/>
      <c r="O57" s="34"/>
    </row>
    <row r="58" spans="1:24">
      <c r="A58" s="8" t="s">
        <v>22</v>
      </c>
      <c r="B58" s="12">
        <v>1047911</v>
      </c>
      <c r="C58" s="12">
        <v>511854.79308386362</v>
      </c>
      <c r="D58" s="12">
        <v>38015.455482338555</v>
      </c>
      <c r="E58" s="6"/>
      <c r="F58" s="7"/>
      <c r="G58" s="8" t="s">
        <v>22</v>
      </c>
      <c r="H58" s="12">
        <f>SUM(H50:H57)</f>
        <v>702012</v>
      </c>
      <c r="I58" s="12">
        <f>SUM(I50:I57)</f>
        <v>310806.47538149892</v>
      </c>
      <c r="J58" s="12">
        <f>SUM(J50:J57)</f>
        <v>23096.029185599182</v>
      </c>
      <c r="K58" s="6"/>
      <c r="L58" s="7"/>
      <c r="M58" s="8" t="s">
        <v>22</v>
      </c>
      <c r="N58" s="12">
        <f>SUM(N50:N57)</f>
        <v>-201048.3177023647</v>
      </c>
      <c r="O58" s="34">
        <f>SUM(O50:O57)</f>
        <v>-14919.42629673937</v>
      </c>
    </row>
    <row r="59" spans="1:24">
      <c r="A59" s="8"/>
      <c r="B59" s="12"/>
      <c r="C59" s="12"/>
      <c r="D59" s="12"/>
      <c r="E59" s="6"/>
      <c r="F59" s="7"/>
      <c r="G59" s="8"/>
      <c r="H59" s="12"/>
      <c r="I59" s="12"/>
      <c r="J59" s="12"/>
      <c r="K59" s="6"/>
      <c r="L59" s="7"/>
      <c r="M59" s="8"/>
      <c r="N59" s="12"/>
      <c r="O59" s="34"/>
    </row>
    <row r="60" spans="1:24">
      <c r="A60" s="43" t="s">
        <v>34</v>
      </c>
      <c r="B60" s="16">
        <v>6288483</v>
      </c>
      <c r="C60" s="16">
        <v>3071626.5147397001</v>
      </c>
      <c r="D60" s="16">
        <v>331051.5773858403</v>
      </c>
      <c r="E60" s="44"/>
      <c r="F60" s="45"/>
      <c r="G60" s="43" t="s">
        <v>34</v>
      </c>
      <c r="H60" s="16">
        <f>H58+H46+H32</f>
        <v>6739102</v>
      </c>
      <c r="I60" s="16">
        <f>I58+I46+I32</f>
        <v>2983648.77219821</v>
      </c>
      <c r="J60" s="16">
        <f>J58+J46+J32</f>
        <v>326260.42656447447</v>
      </c>
      <c r="K60" s="44"/>
      <c r="L60" s="45"/>
      <c r="M60" s="43" t="s">
        <v>34</v>
      </c>
      <c r="N60" s="16">
        <f>N58+N46+N32</f>
        <v>-87977.742541490094</v>
      </c>
      <c r="O60" s="46">
        <f>O58+O46+O32</f>
        <v>-4791.150821365809</v>
      </c>
    </row>
    <row r="61" spans="1:24">
      <c r="A61" s="12"/>
      <c r="B61" s="12"/>
      <c r="C61" s="12"/>
      <c r="D61" s="12"/>
      <c r="E61" s="6"/>
      <c r="F61" s="7"/>
      <c r="G61" s="12"/>
      <c r="H61" s="12"/>
      <c r="I61" s="12"/>
      <c r="J61" s="12"/>
      <c r="K61" s="6"/>
      <c r="L61" s="7"/>
      <c r="M61" s="8"/>
      <c r="N61" s="8"/>
      <c r="O61" s="9"/>
    </row>
    <row r="62" spans="1:24">
      <c r="A62" s="173" t="s">
        <v>35</v>
      </c>
      <c r="B62" s="174"/>
      <c r="C62" s="174"/>
      <c r="D62" s="174"/>
      <c r="E62" s="175"/>
      <c r="F62" s="7"/>
      <c r="G62" s="173" t="s">
        <v>35</v>
      </c>
      <c r="H62" s="174"/>
      <c r="I62" s="174"/>
      <c r="J62" s="174"/>
      <c r="K62" s="175"/>
      <c r="L62" s="7"/>
      <c r="M62" s="173" t="s">
        <v>35</v>
      </c>
      <c r="N62" s="174"/>
      <c r="O62" s="175"/>
    </row>
    <row r="63" spans="1:24">
      <c r="A63" s="21"/>
      <c r="B63" s="21"/>
      <c r="C63" s="21"/>
      <c r="D63" s="21"/>
      <c r="E63" s="22"/>
      <c r="F63" s="23"/>
      <c r="G63" s="21"/>
      <c r="H63" s="21"/>
      <c r="I63" s="21"/>
      <c r="J63" s="21"/>
      <c r="K63" s="22"/>
      <c r="L63" s="24"/>
      <c r="M63" s="8"/>
      <c r="N63" s="21"/>
      <c r="O63" s="25"/>
    </row>
    <row r="64" spans="1:24">
      <c r="A64" s="26"/>
      <c r="B64" s="26"/>
      <c r="C64" s="26" t="s">
        <v>0</v>
      </c>
      <c r="D64" s="26" t="s">
        <v>14</v>
      </c>
      <c r="E64" s="27"/>
      <c r="F64" s="28"/>
      <c r="G64" s="26"/>
      <c r="H64" s="26"/>
      <c r="I64" s="26" t="s">
        <v>0</v>
      </c>
      <c r="J64" s="26" t="s">
        <v>14</v>
      </c>
      <c r="K64" s="27"/>
      <c r="L64" s="28"/>
      <c r="M64" s="8"/>
      <c r="N64" s="26"/>
      <c r="O64" s="9"/>
      <c r="X64" s="29"/>
    </row>
    <row r="65" spans="1:15">
      <c r="A65" s="30"/>
      <c r="B65" s="30" t="s">
        <v>0</v>
      </c>
      <c r="C65" s="30" t="s">
        <v>15</v>
      </c>
      <c r="D65" s="30" t="s">
        <v>15</v>
      </c>
      <c r="E65" s="31" t="s">
        <v>16</v>
      </c>
      <c r="F65" s="32"/>
      <c r="G65" s="30"/>
      <c r="H65" s="30" t="s">
        <v>0</v>
      </c>
      <c r="I65" s="30" t="s">
        <v>15</v>
      </c>
      <c r="J65" s="30" t="s">
        <v>15</v>
      </c>
      <c r="K65" s="31" t="s">
        <v>16</v>
      </c>
      <c r="L65" s="32"/>
      <c r="M65" s="8"/>
      <c r="N65" s="30" t="s">
        <v>0</v>
      </c>
      <c r="O65" s="33" t="s">
        <v>14</v>
      </c>
    </row>
    <row r="66" spans="1:15">
      <c r="A66" s="13" t="s">
        <v>17</v>
      </c>
      <c r="B66" s="21"/>
      <c r="C66" s="21"/>
      <c r="D66" s="21"/>
      <c r="E66" s="22"/>
      <c r="F66" s="24"/>
      <c r="G66" s="13" t="s">
        <v>17</v>
      </c>
      <c r="H66" s="21"/>
      <c r="I66" s="21"/>
      <c r="J66" s="21"/>
      <c r="K66" s="22"/>
      <c r="L66" s="24"/>
      <c r="M66" s="13" t="s">
        <v>17</v>
      </c>
      <c r="N66" s="21"/>
      <c r="O66" s="25"/>
    </row>
    <row r="67" spans="1:15">
      <c r="A67" s="8"/>
      <c r="B67" s="12"/>
      <c r="C67" s="12"/>
      <c r="D67" s="12"/>
      <c r="E67" s="6"/>
      <c r="F67" s="7"/>
      <c r="G67" s="8"/>
      <c r="H67" s="12"/>
      <c r="I67" s="12"/>
      <c r="J67" s="12"/>
      <c r="K67" s="6"/>
      <c r="L67" s="7"/>
      <c r="M67" s="8"/>
      <c r="N67" s="12"/>
      <c r="O67" s="34"/>
    </row>
    <row r="68" spans="1:15">
      <c r="A68" s="8" t="s">
        <v>18</v>
      </c>
      <c r="B68" s="5">
        <v>51777</v>
      </c>
      <c r="C68" s="12">
        <v>25290.6073335457</v>
      </c>
      <c r="D68" s="12">
        <v>3093.2941829659749</v>
      </c>
      <c r="E68" s="35">
        <v>0.12231</v>
      </c>
      <c r="F68" s="7"/>
      <c r="G68" s="8" t="s">
        <v>18</v>
      </c>
      <c r="H68" s="5">
        <v>51884</v>
      </c>
      <c r="I68" s="12">
        <f>H68/$H$222*$J$18</f>
        <v>22970.95087932071</v>
      </c>
      <c r="J68" s="12">
        <f>IF(I68*K68&gt;0,I68*K68,0)</f>
        <v>2632.7006802789465</v>
      </c>
      <c r="K68" s="35">
        <v>0.11461</v>
      </c>
      <c r="L68" s="7"/>
      <c r="M68" s="8" t="s">
        <v>18</v>
      </c>
      <c r="N68" s="12">
        <f t="shared" ref="N68:O71" si="7">I68-C68</f>
        <v>-2319.6564542249907</v>
      </c>
      <c r="O68" s="34">
        <f t="shared" si="7"/>
        <v>-460.59350268702838</v>
      </c>
    </row>
    <row r="69" spans="1:15">
      <c r="A69" s="8" t="s">
        <v>19</v>
      </c>
      <c r="B69" s="5">
        <v>4547695</v>
      </c>
      <c r="C69" s="12">
        <v>2221333.1888237852</v>
      </c>
      <c r="D69" s="12">
        <v>271691.26232503715</v>
      </c>
      <c r="E69" s="6">
        <v>0.12231</v>
      </c>
      <c r="F69" s="7"/>
      <c r="G69" s="8" t="s">
        <v>19</v>
      </c>
      <c r="H69" s="5">
        <v>4918413</v>
      </c>
      <c r="I69" s="12">
        <f>H69/$H$222*$J$18</f>
        <v>2177561.9348394959</v>
      </c>
      <c r="J69" s="12">
        <f>IF(I69*K69&gt;0,I69*K69,0)</f>
        <v>249570.37335195462</v>
      </c>
      <c r="K69" s="6">
        <f>K68</f>
        <v>0.11461</v>
      </c>
      <c r="L69" s="7"/>
      <c r="M69" s="8" t="s">
        <v>19</v>
      </c>
      <c r="N69" s="12">
        <f t="shared" si="7"/>
        <v>-43771.253984289244</v>
      </c>
      <c r="O69" s="34">
        <f t="shared" si="7"/>
        <v>-22120.888973082532</v>
      </c>
    </row>
    <row r="70" spans="1:15">
      <c r="A70" s="8" t="s">
        <v>20</v>
      </c>
      <c r="B70" s="5">
        <v>768355</v>
      </c>
      <c r="C70" s="12">
        <v>375304.9538939395</v>
      </c>
      <c r="D70" s="12">
        <v>45903.548910767742</v>
      </c>
      <c r="E70" s="6">
        <v>0.12231</v>
      </c>
      <c r="F70" s="7"/>
      <c r="G70" s="8" t="s">
        <v>20</v>
      </c>
      <c r="H70" s="5">
        <v>900519</v>
      </c>
      <c r="I70" s="12">
        <f>H70/$H$222*$J$18</f>
        <v>398692.8092455286</v>
      </c>
      <c r="J70" s="12">
        <f>IF(I70*K70&gt;0,I70*K70,0)</f>
        <v>45694.182867630036</v>
      </c>
      <c r="K70" s="6">
        <f>K68</f>
        <v>0.11461</v>
      </c>
      <c r="L70" s="7"/>
      <c r="M70" s="8" t="s">
        <v>20</v>
      </c>
      <c r="N70" s="12">
        <f t="shared" si="7"/>
        <v>23387.855351589096</v>
      </c>
      <c r="O70" s="34">
        <f t="shared" si="7"/>
        <v>-209.36604313770658</v>
      </c>
    </row>
    <row r="71" spans="1:15">
      <c r="A71" s="8" t="s">
        <v>21</v>
      </c>
      <c r="B71" s="36">
        <v>2702545</v>
      </c>
      <c r="C71" s="37">
        <v>1320064.9785858057</v>
      </c>
      <c r="D71" s="37">
        <v>161457.14753082991</v>
      </c>
      <c r="E71" s="39">
        <v>0.12231</v>
      </c>
      <c r="F71" s="7"/>
      <c r="G71" s="8" t="s">
        <v>21</v>
      </c>
      <c r="H71" s="36">
        <v>3480239</v>
      </c>
      <c r="I71" s="37">
        <f>H71/$H$222*$J$18</f>
        <v>1540829.5258132801</v>
      </c>
      <c r="J71" s="37">
        <f>IF(I71*K71&gt;0,I71*K71,0)</f>
        <v>176594.47195346004</v>
      </c>
      <c r="K71" s="39">
        <f>K68</f>
        <v>0.11461</v>
      </c>
      <c r="L71" s="7"/>
      <c r="M71" s="8" t="s">
        <v>21</v>
      </c>
      <c r="N71" s="37">
        <f t="shared" si="7"/>
        <v>220764.5472274744</v>
      </c>
      <c r="O71" s="38">
        <f t="shared" si="7"/>
        <v>15137.324422630132</v>
      </c>
    </row>
    <row r="72" spans="1:15">
      <c r="A72" s="8"/>
      <c r="B72" s="12"/>
      <c r="C72" s="12"/>
      <c r="D72" s="12"/>
      <c r="E72" s="6"/>
      <c r="F72" s="7"/>
      <c r="G72" s="8"/>
      <c r="H72" s="12"/>
      <c r="I72" s="12"/>
      <c r="J72" s="12"/>
      <c r="K72" s="6"/>
      <c r="L72" s="7"/>
      <c r="M72" s="8"/>
      <c r="N72" s="12"/>
      <c r="O72" s="34"/>
    </row>
    <row r="73" spans="1:15">
      <c r="A73" s="8" t="s">
        <v>22</v>
      </c>
      <c r="B73" s="12">
        <v>8070372</v>
      </c>
      <c r="C73" s="12">
        <v>3941994.728637076</v>
      </c>
      <c r="D73" s="12">
        <v>482147.25294960081</v>
      </c>
      <c r="E73" s="6"/>
      <c r="F73" s="7"/>
      <c r="G73" s="8" t="s">
        <v>22</v>
      </c>
      <c r="H73" s="12">
        <f>SUM(H68:H72)</f>
        <v>9351055</v>
      </c>
      <c r="I73" s="12">
        <f>SUM(I68:I72)+1</f>
        <v>4140056.2207776252</v>
      </c>
      <c r="J73" s="12">
        <f>SUM(J68:J72)+2</f>
        <v>474493.72885332361</v>
      </c>
      <c r="K73" s="6"/>
      <c r="L73" s="7"/>
      <c r="M73" s="8" t="s">
        <v>22</v>
      </c>
      <c r="N73" s="12">
        <f>SUM(N68:N72)</f>
        <v>198061.49214054926</v>
      </c>
      <c r="O73" s="34">
        <f>SUM(O68:O72)</f>
        <v>-7653.524096277135</v>
      </c>
    </row>
    <row r="74" spans="1:15">
      <c r="A74" s="8"/>
      <c r="B74" s="12"/>
      <c r="C74" s="12"/>
      <c r="D74" s="12"/>
      <c r="E74" s="6"/>
      <c r="F74" s="7"/>
      <c r="G74" s="8"/>
      <c r="H74" s="12"/>
      <c r="I74" s="12"/>
      <c r="J74" s="12"/>
      <c r="K74" s="6"/>
      <c r="L74" s="7"/>
      <c r="M74" s="8"/>
      <c r="N74" s="12"/>
      <c r="O74" s="34"/>
    </row>
    <row r="75" spans="1:15">
      <c r="A75" s="13" t="s">
        <v>23</v>
      </c>
      <c r="B75" s="12"/>
      <c r="C75" s="12"/>
      <c r="D75" s="12"/>
      <c r="E75" s="6"/>
      <c r="F75" s="7"/>
      <c r="G75" s="13" t="s">
        <v>23</v>
      </c>
      <c r="H75" s="12"/>
      <c r="I75" s="12"/>
      <c r="J75" s="12"/>
      <c r="K75" s="6"/>
      <c r="L75" s="7"/>
      <c r="M75" s="13" t="s">
        <v>23</v>
      </c>
      <c r="N75" s="12"/>
      <c r="O75" s="34"/>
    </row>
    <row r="76" spans="1:15">
      <c r="A76" s="8"/>
      <c r="B76" s="12"/>
      <c r="C76" s="12"/>
      <c r="D76" s="12"/>
      <c r="E76" s="6"/>
      <c r="F76" s="7"/>
      <c r="G76" s="8"/>
      <c r="H76" s="12"/>
      <c r="I76" s="12"/>
      <c r="J76" s="12"/>
      <c r="K76" s="6"/>
      <c r="L76" s="7"/>
      <c r="M76" s="8"/>
      <c r="N76" s="12"/>
      <c r="O76" s="34"/>
    </row>
    <row r="77" spans="1:15">
      <c r="A77" s="8" t="s">
        <v>24</v>
      </c>
      <c r="B77" s="5">
        <v>1218675</v>
      </c>
      <c r="C77" s="12">
        <v>595264.9031849819</v>
      </c>
      <c r="D77" s="12">
        <v>77325.910923729141</v>
      </c>
      <c r="E77" s="35">
        <v>0.12989999999999999</v>
      </c>
      <c r="F77" s="7"/>
      <c r="G77" s="8" t="s">
        <v>24</v>
      </c>
      <c r="H77" s="5">
        <v>1248019</v>
      </c>
      <c r="I77" s="12">
        <f t="shared" ref="I77:I84" si="8">H77/$H$222*$J$18</f>
        <v>552543.81207036751</v>
      </c>
      <c r="J77" s="12">
        <f>IF(I77*K77&gt;0,I77*K77,0)+1</f>
        <v>68488.805506122051</v>
      </c>
      <c r="K77" s="35">
        <v>0.12395</v>
      </c>
      <c r="L77" s="7"/>
      <c r="M77" s="8" t="s">
        <v>24</v>
      </c>
      <c r="N77" s="12">
        <f t="shared" ref="N77:O84" si="9">I77-C77</f>
        <v>-42721.091114614392</v>
      </c>
      <c r="O77" s="34">
        <f t="shared" si="9"/>
        <v>-8837.1054176070902</v>
      </c>
    </row>
    <row r="78" spans="1:15">
      <c r="A78" s="8" t="s">
        <v>25</v>
      </c>
      <c r="B78" s="5">
        <v>161200</v>
      </c>
      <c r="C78" s="12">
        <v>78738.549977162969</v>
      </c>
      <c r="D78" s="12">
        <v>10228.137642033469</v>
      </c>
      <c r="E78" s="39">
        <v>0.12989999999999999</v>
      </c>
      <c r="F78" s="7"/>
      <c r="G78" s="8" t="s">
        <v>25</v>
      </c>
      <c r="H78" s="5">
        <v>231432</v>
      </c>
      <c r="I78" s="12">
        <f t="shared" si="8"/>
        <v>102463.43967124644</v>
      </c>
      <c r="J78" s="12">
        <f t="shared" ref="J78:J84" si="10">IF(I78*K78&gt;0,I78*K78,0)</f>
        <v>12700.343347250997</v>
      </c>
      <c r="K78" s="39">
        <f>K77</f>
        <v>0.12395</v>
      </c>
      <c r="L78" s="7"/>
      <c r="M78" s="8" t="s">
        <v>25</v>
      </c>
      <c r="N78" s="12">
        <f t="shared" si="9"/>
        <v>23724.889694083467</v>
      </c>
      <c r="O78" s="34">
        <f t="shared" si="9"/>
        <v>2472.2057052175278</v>
      </c>
    </row>
    <row r="79" spans="1:15">
      <c r="A79" s="8" t="s">
        <v>18</v>
      </c>
      <c r="B79" s="5">
        <v>53457</v>
      </c>
      <c r="C79" s="12">
        <v>26111.207606260548</v>
      </c>
      <c r="D79" s="12">
        <v>3391.8458680532449</v>
      </c>
      <c r="E79" s="6">
        <v>0.12989999999999999</v>
      </c>
      <c r="F79" s="7"/>
      <c r="G79" s="8" t="s">
        <v>18</v>
      </c>
      <c r="H79" s="5">
        <v>53587</v>
      </c>
      <c r="I79" s="12">
        <f t="shared" si="8"/>
        <v>23724.931477337112</v>
      </c>
      <c r="J79" s="12">
        <f t="shared" si="10"/>
        <v>2940.705256615935</v>
      </c>
      <c r="K79" s="6">
        <f>K77</f>
        <v>0.12395</v>
      </c>
      <c r="L79" s="7"/>
      <c r="M79" s="8" t="s">
        <v>18</v>
      </c>
      <c r="N79" s="12">
        <f t="shared" si="9"/>
        <v>-2386.2761289234368</v>
      </c>
      <c r="O79" s="34">
        <f t="shared" si="9"/>
        <v>-451.14061143730987</v>
      </c>
    </row>
    <row r="80" spans="1:15">
      <c r="A80" s="8" t="s">
        <v>26</v>
      </c>
      <c r="B80" s="5">
        <v>4380</v>
      </c>
      <c r="C80" s="12">
        <v>2139.422139578001</v>
      </c>
      <c r="D80" s="12">
        <v>277.91093593118228</v>
      </c>
      <c r="E80" s="6">
        <v>0.12989999999999999</v>
      </c>
      <c r="F80" s="7"/>
      <c r="G80" s="8" t="s">
        <v>26</v>
      </c>
      <c r="H80" s="5">
        <v>2088</v>
      </c>
      <c r="I80" s="12">
        <f t="shared" si="8"/>
        <v>924.43422704536351</v>
      </c>
      <c r="J80" s="12">
        <f t="shared" si="10"/>
        <v>114.58362244227281</v>
      </c>
      <c r="K80" s="6">
        <f>K77</f>
        <v>0.12395</v>
      </c>
      <c r="L80" s="7"/>
      <c r="M80" s="8" t="s">
        <v>26</v>
      </c>
      <c r="N80" s="12">
        <f t="shared" si="9"/>
        <v>-1214.9879125326374</v>
      </c>
      <c r="O80" s="34">
        <f t="shared" si="9"/>
        <v>-163.32731348890945</v>
      </c>
    </row>
    <row r="81" spans="1:15">
      <c r="A81" s="8" t="s">
        <v>27</v>
      </c>
      <c r="B81" s="5">
        <v>660718</v>
      </c>
      <c r="C81" s="12">
        <v>322729.38749262504</v>
      </c>
      <c r="D81" s="12">
        <v>41922.547435291992</v>
      </c>
      <c r="E81" s="6">
        <v>0.12989999999999999</v>
      </c>
      <c r="F81" s="7"/>
      <c r="G81" s="8" t="s">
        <v>27</v>
      </c>
      <c r="H81" s="5">
        <v>713988</v>
      </c>
      <c r="I81" s="12">
        <f t="shared" si="8"/>
        <v>316108.69008604647</v>
      </c>
      <c r="J81" s="12">
        <f t="shared" si="10"/>
        <v>39181.672136165464</v>
      </c>
      <c r="K81" s="6">
        <f>K77</f>
        <v>0.12395</v>
      </c>
      <c r="L81" s="7"/>
      <c r="M81" s="8" t="s">
        <v>27</v>
      </c>
      <c r="N81" s="12">
        <f t="shared" si="9"/>
        <v>-6620.6974065785762</v>
      </c>
      <c r="O81" s="34">
        <f t="shared" si="9"/>
        <v>-2740.8752991265283</v>
      </c>
    </row>
    <row r="82" spans="1:15">
      <c r="A82" s="8" t="s">
        <v>28</v>
      </c>
      <c r="B82" s="5">
        <v>1756212</v>
      </c>
      <c r="C82" s="12">
        <v>857826.2179435069</v>
      </c>
      <c r="D82" s="12">
        <v>111431.62571086154</v>
      </c>
      <c r="E82" s="6">
        <v>0.12989999999999999</v>
      </c>
      <c r="F82" s="7"/>
      <c r="G82" s="8" t="s">
        <v>28</v>
      </c>
      <c r="H82" s="5">
        <v>1569996</v>
      </c>
      <c r="I82" s="12">
        <f t="shared" si="8"/>
        <v>695094.84613233362</v>
      </c>
      <c r="J82" s="12">
        <f t="shared" si="10"/>
        <v>86157.006178102762</v>
      </c>
      <c r="K82" s="6">
        <f>K77</f>
        <v>0.12395</v>
      </c>
      <c r="L82" s="7"/>
      <c r="M82" s="8" t="s">
        <v>28</v>
      </c>
      <c r="N82" s="12">
        <f t="shared" si="9"/>
        <v>-162731.37181117327</v>
      </c>
      <c r="O82" s="34">
        <f t="shared" si="9"/>
        <v>-25274.619532758777</v>
      </c>
    </row>
    <row r="83" spans="1:15">
      <c r="A83" s="8" t="s">
        <v>29</v>
      </c>
      <c r="B83" s="5">
        <v>0</v>
      </c>
      <c r="C83" s="12">
        <v>0</v>
      </c>
      <c r="D83" s="12">
        <v>0</v>
      </c>
      <c r="E83" s="6">
        <v>0.12989999999999999</v>
      </c>
      <c r="F83" s="7"/>
      <c r="G83" s="8" t="s">
        <v>29</v>
      </c>
      <c r="H83" s="5">
        <v>0</v>
      </c>
      <c r="I83" s="12">
        <f t="shared" si="8"/>
        <v>0</v>
      </c>
      <c r="J83" s="12">
        <f t="shared" si="10"/>
        <v>0</v>
      </c>
      <c r="K83" s="6">
        <f>K77</f>
        <v>0.12395</v>
      </c>
      <c r="L83" s="7"/>
      <c r="M83" s="8" t="s">
        <v>29</v>
      </c>
      <c r="N83" s="12">
        <f t="shared" si="9"/>
        <v>0</v>
      </c>
      <c r="O83" s="34">
        <f t="shared" si="9"/>
        <v>0</v>
      </c>
    </row>
    <row r="84" spans="1:15">
      <c r="A84" s="40" t="s">
        <v>30</v>
      </c>
      <c r="B84" s="41">
        <v>0</v>
      </c>
      <c r="C84" s="37">
        <v>0</v>
      </c>
      <c r="D84" s="37">
        <v>0</v>
      </c>
      <c r="E84" s="6">
        <v>0.12989999999999999</v>
      </c>
      <c r="F84" s="7"/>
      <c r="G84" s="40" t="s">
        <v>30</v>
      </c>
      <c r="H84" s="41">
        <v>0</v>
      </c>
      <c r="I84" s="37">
        <f t="shared" si="8"/>
        <v>0</v>
      </c>
      <c r="J84" s="37">
        <f t="shared" si="10"/>
        <v>0</v>
      </c>
      <c r="K84" s="6">
        <f>K77</f>
        <v>0.12395</v>
      </c>
      <c r="L84" s="7"/>
      <c r="M84" s="1" t="s">
        <v>30</v>
      </c>
      <c r="N84" s="37">
        <f t="shared" si="9"/>
        <v>0</v>
      </c>
      <c r="O84" s="38">
        <f t="shared" si="9"/>
        <v>0</v>
      </c>
    </row>
    <row r="85" spans="1:15">
      <c r="A85" s="8"/>
      <c r="B85" s="12"/>
      <c r="C85" s="12"/>
      <c r="D85" s="12"/>
      <c r="E85" s="6"/>
      <c r="F85" s="7"/>
      <c r="G85" s="8"/>
      <c r="H85" s="12"/>
      <c r="I85" s="12"/>
      <c r="J85" s="12"/>
      <c r="K85" s="6"/>
      <c r="L85" s="7"/>
      <c r="M85" s="8"/>
      <c r="N85" s="12"/>
      <c r="O85" s="34"/>
    </row>
    <row r="86" spans="1:15">
      <c r="A86" s="8" t="s">
        <v>22</v>
      </c>
      <c r="B86" s="12">
        <v>3854642</v>
      </c>
      <c r="C86" s="12">
        <v>1882807.6883441154</v>
      </c>
      <c r="D86" s="12">
        <v>244577.97851590056</v>
      </c>
      <c r="E86" s="6"/>
      <c r="F86" s="7"/>
      <c r="G86" s="8" t="s">
        <v>22</v>
      </c>
      <c r="H86" s="12">
        <f>SUM(H77:H85)</f>
        <v>3819110</v>
      </c>
      <c r="I86" s="12">
        <f>SUM(I77:I85)-2</f>
        <v>1690858.1536643766</v>
      </c>
      <c r="J86" s="12">
        <f>SUM(J77:J85)</f>
        <v>209583.11604669946</v>
      </c>
      <c r="K86" s="6"/>
      <c r="L86" s="7"/>
      <c r="M86" s="8" t="s">
        <v>22</v>
      </c>
      <c r="N86" s="12">
        <f>SUM(N77:N85)</f>
        <v>-191949.53467973886</v>
      </c>
      <c r="O86" s="34">
        <f>SUM(O77:O85)</f>
        <v>-34994.862469201085</v>
      </c>
    </row>
    <row r="87" spans="1:15">
      <c r="A87" s="8"/>
      <c r="B87" s="12"/>
      <c r="C87" s="12"/>
      <c r="D87" s="12"/>
      <c r="E87" s="6"/>
      <c r="F87" s="7"/>
      <c r="G87" s="8"/>
      <c r="H87" s="12"/>
      <c r="I87" s="12"/>
      <c r="J87" s="12"/>
      <c r="K87" s="6"/>
      <c r="L87" s="7"/>
      <c r="M87" s="8"/>
      <c r="N87" s="12"/>
      <c r="O87" s="34"/>
    </row>
    <row r="88" spans="1:15">
      <c r="A88" s="13" t="s">
        <v>31</v>
      </c>
      <c r="B88" s="12"/>
      <c r="C88" s="12"/>
      <c r="D88" s="12"/>
      <c r="E88" s="6"/>
      <c r="F88" s="7"/>
      <c r="G88" s="13" t="s">
        <v>31</v>
      </c>
      <c r="H88" s="12"/>
      <c r="I88" s="12"/>
      <c r="J88" s="12"/>
      <c r="K88" s="6"/>
      <c r="L88" s="7"/>
      <c r="M88" s="13" t="s">
        <v>31</v>
      </c>
      <c r="N88" s="12"/>
      <c r="O88" s="34"/>
    </row>
    <row r="89" spans="1:15">
      <c r="A89" s="8"/>
      <c r="B89" s="12"/>
      <c r="C89" s="12"/>
      <c r="D89" s="12"/>
      <c r="E89" s="6"/>
      <c r="F89" s="7"/>
      <c r="G89" s="8"/>
      <c r="H89" s="12"/>
      <c r="I89" s="12"/>
      <c r="J89" s="12"/>
      <c r="K89" s="6"/>
      <c r="L89" s="7"/>
      <c r="M89" s="8"/>
      <c r="N89" s="12"/>
      <c r="O89" s="34"/>
    </row>
    <row r="90" spans="1:15">
      <c r="A90" s="8" t="s">
        <v>24</v>
      </c>
      <c r="B90" s="5">
        <v>21634</v>
      </c>
      <c r="C90" s="12">
        <v>10567.18232137682</v>
      </c>
      <c r="D90" s="4">
        <v>1019.838765836077</v>
      </c>
      <c r="E90" s="35">
        <v>9.6509999999999999E-2</v>
      </c>
      <c r="F90" s="7"/>
      <c r="G90" s="8" t="s">
        <v>24</v>
      </c>
      <c r="H90" s="5">
        <v>29798</v>
      </c>
      <c r="I90" s="12">
        <f t="shared" ref="I90:I96" si="11">H90/$H$222*$J$18</f>
        <v>13192.668150142597</v>
      </c>
      <c r="J90" s="4">
        <f>I90*K90</f>
        <v>1214.7808832651303</v>
      </c>
      <c r="K90" s="35">
        <v>9.2079999999999995E-2</v>
      </c>
      <c r="L90" s="7"/>
      <c r="M90" s="8" t="s">
        <v>24</v>
      </c>
      <c r="N90" s="12">
        <f t="shared" ref="N90:O96" si="12">I90-C90</f>
        <v>2625.4858287657771</v>
      </c>
      <c r="O90" s="34">
        <f t="shared" si="12"/>
        <v>194.94211742905338</v>
      </c>
    </row>
    <row r="91" spans="1:15">
      <c r="A91" s="8" t="s">
        <v>25</v>
      </c>
      <c r="B91" s="5">
        <v>18152</v>
      </c>
      <c r="C91" s="12">
        <v>8866.3905656666375</v>
      </c>
      <c r="D91" s="4">
        <v>855.69535349248713</v>
      </c>
      <c r="E91" s="6">
        <v>9.6509999999999999E-2</v>
      </c>
      <c r="F91" s="7"/>
      <c r="G91" s="8" t="s">
        <v>25</v>
      </c>
      <c r="H91" s="5">
        <v>14166</v>
      </c>
      <c r="I91" s="12">
        <f t="shared" si="11"/>
        <v>6271.8080748681123</v>
      </c>
      <c r="J91" s="4">
        <f>I91*K91</f>
        <v>577.5080875338557</v>
      </c>
      <c r="K91" s="6">
        <f>K90</f>
        <v>9.2079999999999995E-2</v>
      </c>
      <c r="L91" s="7"/>
      <c r="M91" s="8" t="s">
        <v>25</v>
      </c>
      <c r="N91" s="12">
        <f t="shared" si="12"/>
        <v>-2594.5824907985252</v>
      </c>
      <c r="O91" s="34">
        <f t="shared" si="12"/>
        <v>-278.18726595863143</v>
      </c>
    </row>
    <row r="92" spans="1:15">
      <c r="A92" s="8" t="s">
        <v>27</v>
      </c>
      <c r="B92" s="5">
        <v>68560</v>
      </c>
      <c r="C92" s="12">
        <v>33488.30636745839</v>
      </c>
      <c r="D92" s="12">
        <v>3231.9564475234092</v>
      </c>
      <c r="E92" s="6">
        <v>9.6509999999999999E-2</v>
      </c>
      <c r="F92" s="7"/>
      <c r="G92" s="8" t="s">
        <v>27</v>
      </c>
      <c r="H92" s="5">
        <v>48880</v>
      </c>
      <c r="I92" s="12">
        <f t="shared" si="11"/>
        <v>21640.969836196058</v>
      </c>
      <c r="J92" s="12">
        <f>IF(I92*K92&gt;0,I92*K92,0)</f>
        <v>1992.7005025169328</v>
      </c>
      <c r="K92" s="6">
        <f>K90</f>
        <v>9.2079999999999995E-2</v>
      </c>
      <c r="L92" s="7"/>
      <c r="M92" s="8" t="s">
        <v>27</v>
      </c>
      <c r="N92" s="12">
        <f t="shared" si="12"/>
        <v>-11847.336531262332</v>
      </c>
      <c r="O92" s="34">
        <f t="shared" si="12"/>
        <v>-1239.2559450064764</v>
      </c>
    </row>
    <row r="93" spans="1:15">
      <c r="A93" s="8" t="s">
        <v>32</v>
      </c>
      <c r="B93" s="5">
        <v>0</v>
      </c>
      <c r="C93" s="12">
        <v>0</v>
      </c>
      <c r="D93" s="12">
        <v>0</v>
      </c>
      <c r="E93" s="6">
        <v>9.6509999999999999E-2</v>
      </c>
      <c r="F93" s="7"/>
      <c r="G93" s="8" t="s">
        <v>32</v>
      </c>
      <c r="H93" s="5">
        <v>0</v>
      </c>
      <c r="I93" s="12">
        <f t="shared" si="11"/>
        <v>0</v>
      </c>
      <c r="J93" s="12">
        <f>IF(I93*K93&gt;0,I93*K93,0)</f>
        <v>0</v>
      </c>
      <c r="K93" s="6">
        <f>K90</f>
        <v>9.2079999999999995E-2</v>
      </c>
      <c r="L93" s="7"/>
      <c r="M93" s="8" t="s">
        <v>32</v>
      </c>
      <c r="N93" s="12">
        <f t="shared" si="12"/>
        <v>0</v>
      </c>
      <c r="O93" s="34">
        <f t="shared" si="12"/>
        <v>0</v>
      </c>
    </row>
    <row r="94" spans="1:15">
      <c r="A94" s="8" t="s">
        <v>28</v>
      </c>
      <c r="B94" s="5">
        <v>923312</v>
      </c>
      <c r="C94" s="12">
        <v>450994.09464338887</v>
      </c>
      <c r="D94" s="12">
        <v>43525.44007403346</v>
      </c>
      <c r="E94" s="6">
        <v>9.6509999999999999E-2</v>
      </c>
      <c r="F94" s="7"/>
      <c r="G94" s="8" t="s">
        <v>28</v>
      </c>
      <c r="H94" s="5">
        <v>947752</v>
      </c>
      <c r="I94" s="12">
        <f t="shared" si="11"/>
        <v>419604.59173883969</v>
      </c>
      <c r="J94" s="12">
        <f>IF(I94*K94&gt;0,I94*K94,0)</f>
        <v>38637.190807312356</v>
      </c>
      <c r="K94" s="6">
        <f>K90</f>
        <v>9.2079999999999995E-2</v>
      </c>
      <c r="L94" s="7"/>
      <c r="M94" s="8" t="s">
        <v>28</v>
      </c>
      <c r="N94" s="12">
        <f t="shared" si="12"/>
        <v>-31389.502904549183</v>
      </c>
      <c r="O94" s="34">
        <f t="shared" si="12"/>
        <v>-4888.2492667211045</v>
      </c>
    </row>
    <row r="95" spans="1:15">
      <c r="A95" s="8" t="s">
        <v>33</v>
      </c>
      <c r="B95" s="5">
        <v>0</v>
      </c>
      <c r="C95" s="12">
        <v>0</v>
      </c>
      <c r="D95" s="12">
        <v>0</v>
      </c>
      <c r="E95" s="6">
        <v>9.6509999999999999E-2</v>
      </c>
      <c r="F95" s="7"/>
      <c r="G95" s="8" t="s">
        <v>33</v>
      </c>
      <c r="H95" s="5">
        <v>0</v>
      </c>
      <c r="I95" s="12">
        <f t="shared" si="11"/>
        <v>0</v>
      </c>
      <c r="J95" s="12">
        <f>IF(I95*K95&gt;0,I95*K95,0)</f>
        <v>0</v>
      </c>
      <c r="K95" s="6">
        <f>K90</f>
        <v>9.2079999999999995E-2</v>
      </c>
      <c r="L95" s="7"/>
      <c r="M95" s="8" t="s">
        <v>33</v>
      </c>
      <c r="N95" s="12">
        <f t="shared" si="12"/>
        <v>0</v>
      </c>
      <c r="O95" s="34">
        <f t="shared" si="12"/>
        <v>0</v>
      </c>
    </row>
    <row r="96" spans="1:15">
      <c r="A96" s="8" t="s">
        <v>29</v>
      </c>
      <c r="B96" s="36">
        <v>0</v>
      </c>
      <c r="C96" s="37">
        <v>0</v>
      </c>
      <c r="D96" s="37">
        <v>0</v>
      </c>
      <c r="E96" s="6">
        <v>9.6509999999999999E-2</v>
      </c>
      <c r="F96" s="7"/>
      <c r="G96" s="8" t="s">
        <v>29</v>
      </c>
      <c r="H96" s="36">
        <v>0</v>
      </c>
      <c r="I96" s="37">
        <f t="shared" si="11"/>
        <v>0</v>
      </c>
      <c r="J96" s="37">
        <f>I96*K96</f>
        <v>0</v>
      </c>
      <c r="K96" s="6">
        <f>K90</f>
        <v>9.2079999999999995E-2</v>
      </c>
      <c r="L96" s="7"/>
      <c r="M96" s="8" t="s">
        <v>29</v>
      </c>
      <c r="N96" s="37">
        <f t="shared" si="12"/>
        <v>0</v>
      </c>
      <c r="O96" s="38">
        <f t="shared" si="12"/>
        <v>0</v>
      </c>
    </row>
    <row r="97" spans="1:24">
      <c r="A97" s="8"/>
      <c r="B97" s="12"/>
      <c r="C97" s="12"/>
      <c r="D97" s="12"/>
      <c r="E97" s="6"/>
      <c r="F97" s="7"/>
      <c r="G97" s="8"/>
      <c r="H97" s="12"/>
      <c r="I97" s="12"/>
      <c r="J97" s="12"/>
      <c r="K97" s="6"/>
      <c r="L97" s="7"/>
      <c r="M97" s="8"/>
      <c r="N97" s="12"/>
      <c r="O97" s="34"/>
    </row>
    <row r="98" spans="1:24">
      <c r="A98" s="8" t="s">
        <v>22</v>
      </c>
      <c r="B98" s="12">
        <v>1031658</v>
      </c>
      <c r="C98" s="12">
        <v>503915.97389789071</v>
      </c>
      <c r="D98" s="12">
        <v>48632.930640885432</v>
      </c>
      <c r="E98" s="6"/>
      <c r="F98" s="7"/>
      <c r="G98" s="8" t="s">
        <v>22</v>
      </c>
      <c r="H98" s="12">
        <f>SUM(H90:H97)</f>
        <v>1040596</v>
      </c>
      <c r="I98" s="12">
        <f>SUM(I90:I97)</f>
        <v>460710.03780004644</v>
      </c>
      <c r="J98" s="12">
        <f>SUM(J90:J97)</f>
        <v>42422.180280628272</v>
      </c>
      <c r="K98" s="6"/>
      <c r="L98" s="7"/>
      <c r="M98" s="8" t="s">
        <v>22</v>
      </c>
      <c r="N98" s="12">
        <f>SUM(N90:N97)</f>
        <v>-43205.936097844264</v>
      </c>
      <c r="O98" s="34">
        <f>SUM(O90:O97)</f>
        <v>-6210.7503602571587</v>
      </c>
    </row>
    <row r="99" spans="1:24">
      <c r="A99" s="8"/>
      <c r="B99" s="12"/>
      <c r="C99" s="12"/>
      <c r="D99" s="12"/>
      <c r="E99" s="6"/>
      <c r="F99" s="7"/>
      <c r="G99" s="8"/>
      <c r="H99" s="12"/>
      <c r="I99" s="12"/>
      <c r="J99" s="12"/>
      <c r="K99" s="6"/>
      <c r="L99" s="7"/>
      <c r="M99" s="8"/>
      <c r="N99" s="12"/>
      <c r="O99" s="34"/>
    </row>
    <row r="100" spans="1:24">
      <c r="A100" s="8"/>
      <c r="B100" s="12"/>
      <c r="C100" s="12"/>
      <c r="D100" s="12"/>
      <c r="E100" s="6"/>
      <c r="F100" s="7"/>
      <c r="G100" s="8"/>
      <c r="H100" s="12"/>
      <c r="I100" s="12"/>
      <c r="J100" s="12"/>
      <c r="K100" s="6"/>
      <c r="L100" s="7"/>
      <c r="M100" s="8"/>
      <c r="N100" s="12"/>
      <c r="O100" s="34"/>
    </row>
    <row r="101" spans="1:24">
      <c r="A101" s="43" t="s">
        <v>36</v>
      </c>
      <c r="B101" s="16">
        <v>12956672</v>
      </c>
      <c r="C101" s="16">
        <v>6328718.3908790816</v>
      </c>
      <c r="D101" s="16">
        <v>775357.16210638685</v>
      </c>
      <c r="E101" s="44"/>
      <c r="F101" s="45"/>
      <c r="G101" s="43" t="s">
        <v>36</v>
      </c>
      <c r="H101" s="16">
        <f>H98+H86+H73</f>
        <v>14210761</v>
      </c>
      <c r="I101" s="16">
        <f>I98+I86+I73</f>
        <v>6291624.4122420484</v>
      </c>
      <c r="J101" s="16">
        <f>J98+J86+J73-1</f>
        <v>726498.02518065134</v>
      </c>
      <c r="K101" s="44"/>
      <c r="L101" s="45"/>
      <c r="M101" s="43" t="s">
        <v>36</v>
      </c>
      <c r="N101" s="16">
        <f>N98+N86+N73</f>
        <v>-37093.97863703387</v>
      </c>
      <c r="O101" s="46">
        <f>O98+O86+O73</f>
        <v>-48859.13692573538</v>
      </c>
    </row>
    <row r="102" spans="1:24">
      <c r="A102" s="12"/>
      <c r="B102" s="12"/>
      <c r="C102" s="12"/>
      <c r="D102" s="12"/>
      <c r="E102" s="6"/>
      <c r="F102" s="7"/>
      <c r="G102" s="12"/>
      <c r="H102" s="12"/>
      <c r="I102" s="12"/>
      <c r="J102" s="12"/>
      <c r="K102" s="6"/>
      <c r="L102" s="7"/>
      <c r="M102" s="8"/>
      <c r="N102" s="8"/>
      <c r="O102" s="9"/>
    </row>
    <row r="103" spans="1:24">
      <c r="A103" s="173" t="s">
        <v>37</v>
      </c>
      <c r="B103" s="174"/>
      <c r="C103" s="174"/>
      <c r="D103" s="174"/>
      <c r="E103" s="175"/>
      <c r="F103" s="7"/>
      <c r="G103" s="173" t="s">
        <v>37</v>
      </c>
      <c r="H103" s="174"/>
      <c r="I103" s="174"/>
      <c r="J103" s="174"/>
      <c r="K103" s="175"/>
      <c r="L103" s="7"/>
      <c r="M103" s="173" t="s">
        <v>37</v>
      </c>
      <c r="N103" s="174"/>
      <c r="O103" s="175"/>
    </row>
    <row r="104" spans="1:24">
      <c r="A104" s="21"/>
      <c r="B104" s="21"/>
      <c r="C104" s="21"/>
      <c r="D104" s="21"/>
      <c r="E104" s="22"/>
      <c r="F104" s="23"/>
      <c r="G104" s="21"/>
      <c r="H104" s="21"/>
      <c r="I104" s="21"/>
      <c r="J104" s="21"/>
      <c r="K104" s="22"/>
      <c r="L104" s="24"/>
      <c r="M104" s="8"/>
      <c r="N104" s="21"/>
      <c r="O104" s="25"/>
    </row>
    <row r="105" spans="1:24">
      <c r="A105" s="26"/>
      <c r="B105" s="26"/>
      <c r="C105" s="26" t="s">
        <v>0</v>
      </c>
      <c r="D105" s="26" t="s">
        <v>14</v>
      </c>
      <c r="E105" s="27"/>
      <c r="F105" s="28"/>
      <c r="G105" s="26"/>
      <c r="H105" s="26"/>
      <c r="I105" s="26" t="s">
        <v>0</v>
      </c>
      <c r="J105" s="26" t="s">
        <v>14</v>
      </c>
      <c r="K105" s="27"/>
      <c r="L105" s="28"/>
      <c r="M105" s="8"/>
      <c r="N105" s="26"/>
      <c r="O105" s="9"/>
      <c r="X105" s="29"/>
    </row>
    <row r="106" spans="1:24">
      <c r="A106" s="30"/>
      <c r="B106" s="30" t="s">
        <v>0</v>
      </c>
      <c r="C106" s="30" t="s">
        <v>15</v>
      </c>
      <c r="D106" s="30" t="s">
        <v>15</v>
      </c>
      <c r="E106" s="31" t="s">
        <v>16</v>
      </c>
      <c r="F106" s="32"/>
      <c r="G106" s="30"/>
      <c r="H106" s="30" t="s">
        <v>0</v>
      </c>
      <c r="I106" s="30" t="s">
        <v>15</v>
      </c>
      <c r="J106" s="30" t="s">
        <v>15</v>
      </c>
      <c r="K106" s="31" t="s">
        <v>16</v>
      </c>
      <c r="L106" s="32"/>
      <c r="M106" s="8"/>
      <c r="N106" s="30" t="s">
        <v>0</v>
      </c>
      <c r="O106" s="33" t="s">
        <v>14</v>
      </c>
    </row>
    <row r="107" spans="1:24">
      <c r="A107" s="13" t="s">
        <v>17</v>
      </c>
      <c r="B107" s="21"/>
      <c r="C107" s="21"/>
      <c r="D107" s="21"/>
      <c r="E107" s="22"/>
      <c r="F107" s="24"/>
      <c r="G107" s="13" t="s">
        <v>17</v>
      </c>
      <c r="H107" s="21"/>
      <c r="I107" s="21"/>
      <c r="J107" s="21"/>
      <c r="K107" s="22"/>
      <c r="L107" s="24"/>
      <c r="M107" s="13" t="s">
        <v>17</v>
      </c>
      <c r="N107" s="21"/>
      <c r="O107" s="25"/>
    </row>
    <row r="108" spans="1:24">
      <c r="A108" s="8"/>
      <c r="B108" s="12"/>
      <c r="C108" s="12"/>
      <c r="D108" s="12"/>
      <c r="E108" s="6"/>
      <c r="F108" s="7"/>
      <c r="G108" s="8"/>
      <c r="H108" s="12"/>
      <c r="I108" s="12"/>
      <c r="J108" s="12"/>
      <c r="K108" s="6"/>
      <c r="L108" s="7"/>
      <c r="M108" s="8"/>
      <c r="N108" s="12"/>
      <c r="O108" s="34"/>
    </row>
    <row r="109" spans="1:24">
      <c r="A109" s="8" t="s">
        <v>18</v>
      </c>
      <c r="B109" s="5">
        <v>344305</v>
      </c>
      <c r="C109" s="12">
        <f>B109/$H$222*$J$18</f>
        <v>152436.45907224802</v>
      </c>
      <c r="D109" s="12">
        <f>IF(C109*E109&gt;0,C109*E109,0)</f>
        <v>20513.374297352417</v>
      </c>
      <c r="E109" s="35">
        <v>0.13457</v>
      </c>
      <c r="F109" s="7"/>
      <c r="G109" s="8" t="s">
        <v>18</v>
      </c>
      <c r="H109" s="5">
        <v>344698</v>
      </c>
      <c r="I109" s="12">
        <f>H109/$H$222*$J$18</f>
        <v>152610.45459486719</v>
      </c>
      <c r="J109" s="12">
        <f>IF(I109*K109&gt;0,I109*K109,0)</f>
        <v>19329.640178985876</v>
      </c>
      <c r="K109" s="35">
        <v>0.12665999999999999</v>
      </c>
      <c r="L109" s="7"/>
      <c r="M109" s="8" t="s">
        <v>18</v>
      </c>
      <c r="N109" s="12">
        <f t="shared" ref="N109:O112" si="13">I109-C109</f>
        <v>173.99552261916688</v>
      </c>
      <c r="O109" s="34">
        <f t="shared" si="13"/>
        <v>-1183.7341183665412</v>
      </c>
    </row>
    <row r="110" spans="1:24">
      <c r="A110" s="8" t="s">
        <v>19</v>
      </c>
      <c r="B110" s="5">
        <v>122143599</v>
      </c>
      <c r="C110" s="12">
        <f>B110/$H$222*$J$18</f>
        <v>54077453.797942452</v>
      </c>
      <c r="D110" s="47">
        <f>IF(C110*E110&gt;0,C110*E110,0)</f>
        <v>7277202.9575891159</v>
      </c>
      <c r="E110" s="6">
        <f>E109</f>
        <v>0.13457</v>
      </c>
      <c r="F110" s="7"/>
      <c r="G110" s="8" t="s">
        <v>19</v>
      </c>
      <c r="H110" s="5">
        <v>156046262</v>
      </c>
      <c r="I110" s="12">
        <f>H110/$H$222*$J$18</f>
        <v>69087406.894295156</v>
      </c>
      <c r="J110" s="47">
        <f>IF(I110*K110&gt;0,I110*K110,0)</f>
        <v>8750610.9572314247</v>
      </c>
      <c r="K110" s="6">
        <f>K109</f>
        <v>0.12665999999999999</v>
      </c>
      <c r="L110" s="7"/>
      <c r="M110" s="8" t="s">
        <v>19</v>
      </c>
      <c r="N110" s="12">
        <f t="shared" si="13"/>
        <v>15009953.096352704</v>
      </c>
      <c r="O110" s="34">
        <f t="shared" si="13"/>
        <v>1473407.9996423088</v>
      </c>
    </row>
    <row r="111" spans="1:24">
      <c r="A111" s="8" t="s">
        <v>20</v>
      </c>
      <c r="B111" s="5">
        <v>0</v>
      </c>
      <c r="C111" s="12">
        <f>B111/$H$222*$J$18</f>
        <v>0</v>
      </c>
      <c r="D111" s="12">
        <f>IF(C111*E111&gt;0,C111*E111,0)</f>
        <v>0</v>
      </c>
      <c r="E111" s="6">
        <f>E109</f>
        <v>0.13457</v>
      </c>
      <c r="F111" s="7"/>
      <c r="G111" s="8" t="s">
        <v>20</v>
      </c>
      <c r="H111" s="5">
        <v>0</v>
      </c>
      <c r="I111" s="12">
        <f>H111/$H$222*$J$18</f>
        <v>0</v>
      </c>
      <c r="J111" s="12">
        <f>IF(I111*K111&gt;0,I111*K111,0)</f>
        <v>0</v>
      </c>
      <c r="K111" s="6">
        <f>K109</f>
        <v>0.12665999999999999</v>
      </c>
      <c r="L111" s="7"/>
      <c r="M111" s="8" t="s">
        <v>20</v>
      </c>
      <c r="N111" s="12">
        <f t="shared" si="13"/>
        <v>0</v>
      </c>
      <c r="O111" s="34">
        <f t="shared" si="13"/>
        <v>0</v>
      </c>
    </row>
    <row r="112" spans="1:24">
      <c r="A112" s="8" t="s">
        <v>21</v>
      </c>
      <c r="B112" s="36">
        <v>0</v>
      </c>
      <c r="C112" s="37">
        <f>B112/$H$222*$J$18</f>
        <v>0</v>
      </c>
      <c r="D112" s="37">
        <f>IF(C112*E112&gt;0,C112*E112,0)</f>
        <v>0</v>
      </c>
      <c r="E112" s="6">
        <f>E109</f>
        <v>0.13457</v>
      </c>
      <c r="F112" s="7"/>
      <c r="G112" s="8" t="s">
        <v>21</v>
      </c>
      <c r="H112" s="36">
        <v>0</v>
      </c>
      <c r="I112" s="37">
        <f>H112/$H$222*$J$18</f>
        <v>0</v>
      </c>
      <c r="J112" s="37">
        <f>IF(I112*K112&gt;0,I112*K112,0)</f>
        <v>0</v>
      </c>
      <c r="K112" s="6">
        <f>K109</f>
        <v>0.12665999999999999</v>
      </c>
      <c r="L112" s="7"/>
      <c r="M112" s="8" t="s">
        <v>21</v>
      </c>
      <c r="N112" s="37">
        <f t="shared" si="13"/>
        <v>0</v>
      </c>
      <c r="O112" s="38">
        <f t="shared" si="13"/>
        <v>0</v>
      </c>
    </row>
    <row r="113" spans="1:15">
      <c r="A113" s="8"/>
      <c r="B113" s="12"/>
      <c r="C113" s="12"/>
      <c r="D113" s="12"/>
      <c r="E113" s="6"/>
      <c r="F113" s="7"/>
      <c r="G113" s="8"/>
      <c r="H113" s="12"/>
      <c r="I113" s="12"/>
      <c r="J113" s="12"/>
      <c r="K113" s="6"/>
      <c r="L113" s="7"/>
      <c r="M113" s="8"/>
      <c r="N113" s="12"/>
      <c r="O113" s="34"/>
    </row>
    <row r="114" spans="1:15">
      <c r="A114" s="8" t="s">
        <v>22</v>
      </c>
      <c r="B114" s="12">
        <f>SUM(B109:B113)</f>
        <v>122487904</v>
      </c>
      <c r="C114" s="12">
        <f>SUM(C109:C113)</f>
        <v>54229890.257014699</v>
      </c>
      <c r="D114" s="12">
        <f>SUM(D109:D113)</f>
        <v>7297716.3318864685</v>
      </c>
      <c r="E114" s="6"/>
      <c r="F114" s="7"/>
      <c r="G114" s="8" t="s">
        <v>22</v>
      </c>
      <c r="H114" s="12">
        <f>SUM(H109:H113)</f>
        <v>156390960</v>
      </c>
      <c r="I114" s="12">
        <f>SUM(I109:I113)</f>
        <v>69240017.348890021</v>
      </c>
      <c r="J114" s="12">
        <f>SUM(J109:J113)</f>
        <v>8769940.5974104106</v>
      </c>
      <c r="K114" s="6"/>
      <c r="L114" s="7"/>
      <c r="M114" s="8" t="s">
        <v>22</v>
      </c>
      <c r="N114" s="12">
        <f>SUM(N109:N113)</f>
        <v>15010127.091875322</v>
      </c>
      <c r="O114" s="34">
        <f>SUM(O109:O113)</f>
        <v>1472224.2655239422</v>
      </c>
    </row>
    <row r="115" spans="1:15">
      <c r="A115" s="48"/>
      <c r="B115" s="47"/>
      <c r="C115" s="47"/>
      <c r="D115" s="12"/>
      <c r="E115" s="6"/>
      <c r="F115" s="7"/>
      <c r="G115" s="48"/>
      <c r="H115" s="47"/>
      <c r="I115" s="47"/>
      <c r="J115" s="12"/>
      <c r="K115" s="6"/>
      <c r="L115" s="7"/>
      <c r="M115" s="8"/>
      <c r="N115" s="12"/>
      <c r="O115" s="34"/>
    </row>
    <row r="116" spans="1:15">
      <c r="A116" s="13" t="s">
        <v>23</v>
      </c>
      <c r="B116" s="12"/>
      <c r="C116" s="12"/>
      <c r="D116" s="12"/>
      <c r="E116" s="6"/>
      <c r="F116" s="7"/>
      <c r="G116" s="13" t="s">
        <v>23</v>
      </c>
      <c r="H116" s="12"/>
      <c r="I116" s="12"/>
      <c r="J116" s="12"/>
      <c r="K116" s="6"/>
      <c r="L116" s="7"/>
      <c r="M116" s="13" t="s">
        <v>23</v>
      </c>
      <c r="N116" s="12"/>
      <c r="O116" s="34"/>
    </row>
    <row r="117" spans="1:15">
      <c r="A117" s="8"/>
      <c r="B117" s="12"/>
      <c r="C117" s="12"/>
      <c r="D117" s="12"/>
      <c r="E117" s="6"/>
      <c r="F117" s="7"/>
      <c r="G117" s="8"/>
      <c r="H117" s="12"/>
      <c r="I117" s="12"/>
      <c r="J117" s="12"/>
      <c r="K117" s="6"/>
      <c r="L117" s="7"/>
      <c r="M117" s="8"/>
      <c r="N117" s="12"/>
      <c r="O117" s="34"/>
    </row>
    <row r="118" spans="1:15">
      <c r="A118" s="8" t="s">
        <v>24</v>
      </c>
      <c r="B118" s="5">
        <v>21779033</v>
      </c>
      <c r="C118" s="12">
        <f t="shared" ref="C118:C125" si="14">B118/$H$222*$J$18</f>
        <v>9642377.1729647815</v>
      </c>
      <c r="D118" s="12">
        <f t="shared" ref="D118:D123" si="15">IF(C118*E118&gt;0,C118*E118,0)</f>
        <v>1084671.0081868083</v>
      </c>
      <c r="E118" s="35">
        <v>0.11249000000000001</v>
      </c>
      <c r="F118" s="7"/>
      <c r="G118" s="8" t="s">
        <v>24</v>
      </c>
      <c r="H118" s="5">
        <v>24183612</v>
      </c>
      <c r="I118" s="12">
        <f t="shared" ref="I118:I125" si="16">H118/$H$222*$J$18</f>
        <v>10706972.541372115</v>
      </c>
      <c r="J118" s="12">
        <f t="shared" ref="J118:J123" si="17">IF(I118*K118&gt;0,I118*K118,0)</f>
        <v>1161385.3115626334</v>
      </c>
      <c r="K118" s="35">
        <v>0.10847</v>
      </c>
      <c r="L118" s="7"/>
      <c r="M118" s="8" t="s">
        <v>24</v>
      </c>
      <c r="N118" s="12">
        <f t="shared" ref="N118:O125" si="18">I118-C118</f>
        <v>1064595.3684073333</v>
      </c>
      <c r="O118" s="34">
        <f t="shared" si="18"/>
        <v>76714.303375825053</v>
      </c>
    </row>
    <row r="119" spans="1:15">
      <c r="A119" s="8" t="s">
        <v>25</v>
      </c>
      <c r="B119" s="5">
        <v>6601346</v>
      </c>
      <c r="C119" s="12">
        <f t="shared" si="14"/>
        <v>2922658.135521553</v>
      </c>
      <c r="D119" s="12">
        <f t="shared" si="15"/>
        <v>328769.81366481952</v>
      </c>
      <c r="E119" s="39">
        <f>E118</f>
        <v>0.11249000000000001</v>
      </c>
      <c r="F119" s="7"/>
      <c r="G119" s="8" t="s">
        <v>25</v>
      </c>
      <c r="H119" s="5">
        <v>7321935</v>
      </c>
      <c r="I119" s="12">
        <f t="shared" si="16"/>
        <v>3241689.3305562227</v>
      </c>
      <c r="J119" s="12">
        <f t="shared" si="17"/>
        <v>351626.04168543348</v>
      </c>
      <c r="K119" s="39">
        <f>K118</f>
        <v>0.10847</v>
      </c>
      <c r="L119" s="7"/>
      <c r="M119" s="8" t="s">
        <v>25</v>
      </c>
      <c r="N119" s="12">
        <f t="shared" si="18"/>
        <v>319031.19503466971</v>
      </c>
      <c r="O119" s="34">
        <f t="shared" si="18"/>
        <v>22856.228020613955</v>
      </c>
    </row>
    <row r="120" spans="1:15">
      <c r="A120" s="8" t="s">
        <v>18</v>
      </c>
      <c r="B120" s="5">
        <v>654455</v>
      </c>
      <c r="C120" s="12">
        <f t="shared" si="14"/>
        <v>289751.24619778414</v>
      </c>
      <c r="D120" s="12">
        <f t="shared" si="15"/>
        <v>32594.11768478874</v>
      </c>
      <c r="E120" s="6">
        <f>E118</f>
        <v>0.11249000000000001</v>
      </c>
      <c r="F120" s="7"/>
      <c r="G120" s="8" t="s">
        <v>18</v>
      </c>
      <c r="H120" s="5">
        <v>663959</v>
      </c>
      <c r="I120" s="12">
        <f t="shared" si="16"/>
        <v>293959.01578295615</v>
      </c>
      <c r="J120" s="12">
        <f t="shared" si="17"/>
        <v>31885.734441977253</v>
      </c>
      <c r="K120" s="6">
        <f>K118</f>
        <v>0.10847</v>
      </c>
      <c r="L120" s="7"/>
      <c r="M120" s="8" t="s">
        <v>18</v>
      </c>
      <c r="N120" s="12">
        <f t="shared" si="18"/>
        <v>4207.7695851720055</v>
      </c>
      <c r="O120" s="34">
        <f t="shared" si="18"/>
        <v>-708.38324281148743</v>
      </c>
    </row>
    <row r="121" spans="1:15">
      <c r="A121" s="8" t="s">
        <v>26</v>
      </c>
      <c r="B121" s="5">
        <v>25191</v>
      </c>
      <c r="C121" s="12">
        <f t="shared" si="14"/>
        <v>11152.98017887919</v>
      </c>
      <c r="D121" s="12">
        <f t="shared" si="15"/>
        <v>1254.5987403221202</v>
      </c>
      <c r="E121" s="6">
        <f>E118</f>
        <v>0.11249000000000001</v>
      </c>
      <c r="F121" s="7"/>
      <c r="G121" s="8" t="s">
        <v>26</v>
      </c>
      <c r="H121" s="5">
        <v>11441</v>
      </c>
      <c r="I121" s="12">
        <f t="shared" si="16"/>
        <v>5065.3505707021086</v>
      </c>
      <c r="J121" s="12">
        <f t="shared" si="17"/>
        <v>549.4385764040577</v>
      </c>
      <c r="K121" s="6">
        <f>K118</f>
        <v>0.10847</v>
      </c>
      <c r="L121" s="7"/>
      <c r="M121" s="8" t="s">
        <v>26</v>
      </c>
      <c r="N121" s="12">
        <f t="shared" si="18"/>
        <v>-6087.6296081770815</v>
      </c>
      <c r="O121" s="34">
        <f t="shared" si="18"/>
        <v>-705.16016391806249</v>
      </c>
    </row>
    <row r="122" spans="1:15">
      <c r="A122" s="8" t="s">
        <v>27</v>
      </c>
      <c r="B122" s="5">
        <v>24864027</v>
      </c>
      <c r="C122" s="12">
        <f t="shared" si="14"/>
        <v>11008217.232270138</v>
      </c>
      <c r="D122" s="12">
        <f t="shared" si="15"/>
        <v>1238314.3564580679</v>
      </c>
      <c r="E122" s="6">
        <f>E118</f>
        <v>0.11249000000000001</v>
      </c>
      <c r="F122" s="7"/>
      <c r="G122" s="8" t="s">
        <v>27</v>
      </c>
      <c r="H122" s="5">
        <v>29088179</v>
      </c>
      <c r="I122" s="12">
        <f t="shared" si="16"/>
        <v>12878404.343880352</v>
      </c>
      <c r="J122" s="12">
        <f t="shared" si="17"/>
        <v>1396920.5191807018</v>
      </c>
      <c r="K122" s="6">
        <f>K118</f>
        <v>0.10847</v>
      </c>
      <c r="L122" s="7"/>
      <c r="M122" s="8" t="s">
        <v>27</v>
      </c>
      <c r="N122" s="12">
        <f t="shared" si="18"/>
        <v>1870187.1116102133</v>
      </c>
      <c r="O122" s="34">
        <f t="shared" si="18"/>
        <v>158606.16272263392</v>
      </c>
    </row>
    <row r="123" spans="1:15">
      <c r="A123" s="8" t="s">
        <v>28</v>
      </c>
      <c r="B123" s="5">
        <v>43972410</v>
      </c>
      <c r="C123" s="12">
        <f t="shared" si="14"/>
        <v>19468199.640647419</v>
      </c>
      <c r="D123" s="47">
        <f t="shared" si="15"/>
        <v>2189977.7775764284</v>
      </c>
      <c r="E123" s="6">
        <f>E118</f>
        <v>0.11249000000000001</v>
      </c>
      <c r="F123" s="7"/>
      <c r="G123" s="8" t="s">
        <v>28</v>
      </c>
      <c r="H123" s="5">
        <v>45384118</v>
      </c>
      <c r="I123" s="12">
        <f t="shared" si="16"/>
        <v>20093214.580203816</v>
      </c>
      <c r="J123" s="47">
        <f t="shared" si="17"/>
        <v>2179510.9855147079</v>
      </c>
      <c r="K123" s="6">
        <f>K118</f>
        <v>0.10847</v>
      </c>
      <c r="L123" s="7"/>
      <c r="M123" s="8" t="s">
        <v>28</v>
      </c>
      <c r="N123" s="12">
        <f t="shared" si="18"/>
        <v>625014.9395563975</v>
      </c>
      <c r="O123" s="34">
        <f t="shared" si="18"/>
        <v>-10466.792061720509</v>
      </c>
    </row>
    <row r="124" spans="1:15">
      <c r="A124" s="8" t="s">
        <v>29</v>
      </c>
      <c r="B124" s="5">
        <v>2932278</v>
      </c>
      <c r="C124" s="12">
        <f t="shared" si="14"/>
        <v>1298227.0816150021</v>
      </c>
      <c r="D124" s="12">
        <f>IF(C124*E124&gt;0,C124*E124,0)</f>
        <v>146037.56441087159</v>
      </c>
      <c r="E124" s="6">
        <f>E118</f>
        <v>0.11249000000000001</v>
      </c>
      <c r="F124" s="7"/>
      <c r="G124" s="8" t="s">
        <v>29</v>
      </c>
      <c r="H124" s="5">
        <v>6021988</v>
      </c>
      <c r="I124" s="12">
        <f t="shared" si="16"/>
        <v>2666155.0871917885</v>
      </c>
      <c r="J124" s="12">
        <f>IF(I124*K124&gt;0,I124*K124,0)</f>
        <v>289197.84230769327</v>
      </c>
      <c r="K124" s="6">
        <f>K118</f>
        <v>0.10847</v>
      </c>
      <c r="L124" s="7"/>
      <c r="M124" s="8" t="s">
        <v>29</v>
      </c>
      <c r="N124" s="12">
        <f t="shared" si="18"/>
        <v>1367928.0055767864</v>
      </c>
      <c r="O124" s="34">
        <f t="shared" si="18"/>
        <v>143160.27789682167</v>
      </c>
    </row>
    <row r="125" spans="1:15">
      <c r="A125" s="40" t="s">
        <v>30</v>
      </c>
      <c r="B125" s="5">
        <v>0</v>
      </c>
      <c r="C125" s="37">
        <f t="shared" si="14"/>
        <v>0</v>
      </c>
      <c r="D125" s="37">
        <f>C125*E125</f>
        <v>0</v>
      </c>
      <c r="E125" s="6">
        <f>E118</f>
        <v>0.11249000000000001</v>
      </c>
      <c r="F125" s="7"/>
      <c r="G125" s="40" t="s">
        <v>30</v>
      </c>
      <c r="H125" s="5">
        <v>98</v>
      </c>
      <c r="I125" s="37">
        <f t="shared" si="16"/>
        <v>43.388196480098472</v>
      </c>
      <c r="J125" s="37">
        <f>I125*K125</f>
        <v>4.7063176721962812</v>
      </c>
      <c r="K125" s="6">
        <f>K118</f>
        <v>0.10847</v>
      </c>
      <c r="L125" s="7"/>
      <c r="M125" s="1" t="s">
        <v>30</v>
      </c>
      <c r="N125" s="37">
        <f t="shared" si="18"/>
        <v>43.388196480098472</v>
      </c>
      <c r="O125" s="38">
        <f t="shared" si="18"/>
        <v>4.7063176721962812</v>
      </c>
    </row>
    <row r="126" spans="1:15">
      <c r="A126" s="8"/>
      <c r="B126" s="12"/>
      <c r="C126" s="12"/>
      <c r="D126" s="12"/>
      <c r="E126" s="6"/>
      <c r="F126" s="7"/>
      <c r="G126" s="8"/>
      <c r="H126" s="12"/>
      <c r="I126" s="12"/>
      <c r="J126" s="12"/>
      <c r="K126" s="6"/>
      <c r="L126" s="7"/>
      <c r="M126" s="8"/>
      <c r="N126" s="12"/>
      <c r="O126" s="34"/>
    </row>
    <row r="127" spans="1:15">
      <c r="A127" s="8" t="s">
        <v>22</v>
      </c>
      <c r="B127" s="12">
        <f>SUM(B118:B126)</f>
        <v>100828740</v>
      </c>
      <c r="C127" s="12">
        <f>SUM(C118:C126)+1</f>
        <v>44640584.489395559</v>
      </c>
      <c r="D127" s="12">
        <f>SUM(D118:D126)+1</f>
        <v>5021620.236722107</v>
      </c>
      <c r="E127" s="6"/>
      <c r="F127" s="7"/>
      <c r="G127" s="8" t="s">
        <v>22</v>
      </c>
      <c r="H127" s="12">
        <f>SUM(H118:H126)</f>
        <v>112675330</v>
      </c>
      <c r="I127" s="12">
        <f>SUM(I118:I126)+1</f>
        <v>49885504.63775444</v>
      </c>
      <c r="J127" s="12">
        <f>SUM(J118:J126)+1</f>
        <v>5411081.5795872239</v>
      </c>
      <c r="K127" s="6"/>
      <c r="L127" s="7"/>
      <c r="M127" s="8" t="s">
        <v>22</v>
      </c>
      <c r="N127" s="12">
        <f>SUM(N118:N126)</f>
        <v>5244920.1483588759</v>
      </c>
      <c r="O127" s="34">
        <f>SUM(O118:O126)</f>
        <v>389461.34286511678</v>
      </c>
    </row>
    <row r="128" spans="1:15">
      <c r="A128" s="48"/>
      <c r="B128" s="47"/>
      <c r="C128" s="47"/>
      <c r="D128" s="12"/>
      <c r="E128" s="6"/>
      <c r="F128" s="7"/>
      <c r="G128" s="48"/>
      <c r="H128" s="47"/>
      <c r="I128" s="47"/>
      <c r="J128" s="12"/>
      <c r="K128" s="6"/>
      <c r="L128" s="7"/>
      <c r="M128" s="8"/>
      <c r="N128" s="12"/>
      <c r="O128" s="34"/>
    </row>
    <row r="129" spans="1:15">
      <c r="A129" s="13" t="s">
        <v>31</v>
      </c>
      <c r="B129" s="12"/>
      <c r="C129" s="12"/>
      <c r="D129" s="12"/>
      <c r="E129" s="6"/>
      <c r="F129" s="7"/>
      <c r="G129" s="13" t="s">
        <v>31</v>
      </c>
      <c r="H129" s="12"/>
      <c r="I129" s="12"/>
      <c r="J129" s="12"/>
      <c r="K129" s="6"/>
      <c r="L129" s="7"/>
      <c r="M129" s="13" t="s">
        <v>31</v>
      </c>
      <c r="N129" s="12"/>
      <c r="O129" s="34"/>
    </row>
    <row r="130" spans="1:15">
      <c r="A130" s="8"/>
      <c r="B130" s="12"/>
      <c r="C130" s="12"/>
      <c r="D130" s="12"/>
      <c r="E130" s="6"/>
      <c r="F130" s="7"/>
      <c r="G130" s="8"/>
      <c r="H130" s="12"/>
      <c r="I130" s="12"/>
      <c r="J130" s="12"/>
      <c r="K130" s="6"/>
      <c r="L130" s="7"/>
      <c r="M130" s="8"/>
      <c r="N130" s="12"/>
      <c r="O130" s="34"/>
    </row>
    <row r="131" spans="1:15">
      <c r="A131" s="8" t="s">
        <v>24</v>
      </c>
      <c r="B131" s="53">
        <v>164404</v>
      </c>
      <c r="C131" s="12">
        <f t="shared" ref="C131:C137" si="19">B131/$H$222*$J$18</f>
        <v>72787.684225654186</v>
      </c>
      <c r="D131" s="12">
        <f t="shared" ref="D131:D137" si="20">IF(C131*E131&gt;0,C131*E131,0)</f>
        <v>6208.0615876060456</v>
      </c>
      <c r="E131" s="35">
        <v>8.5290000000000005E-2</v>
      </c>
      <c r="F131" s="7"/>
      <c r="G131" s="8" t="s">
        <v>24</v>
      </c>
      <c r="H131" s="53">
        <v>184159</v>
      </c>
      <c r="I131" s="12">
        <f t="shared" ref="I131:I137" si="21">H131/$H$222*$J$18</f>
        <v>81533.947709984248</v>
      </c>
      <c r="J131" s="12">
        <f t="shared" ref="J131:J137" si="22">IF(I131*K131&gt;0,I131*K131,0)</f>
        <v>6631.1559672530193</v>
      </c>
      <c r="K131" s="35">
        <v>8.133E-2</v>
      </c>
      <c r="L131" s="7"/>
      <c r="M131" s="8" t="s">
        <v>24</v>
      </c>
      <c r="N131" s="12">
        <f t="shared" ref="N131:O137" si="23">I131-C131</f>
        <v>8746.2634843300621</v>
      </c>
      <c r="O131" s="34">
        <f t="shared" si="23"/>
        <v>423.09437964697372</v>
      </c>
    </row>
    <row r="132" spans="1:15">
      <c r="A132" s="8" t="s">
        <v>25</v>
      </c>
      <c r="B132" s="5">
        <v>25583</v>
      </c>
      <c r="C132" s="12">
        <f t="shared" si="19"/>
        <v>11326.532964799584</v>
      </c>
      <c r="D132" s="12">
        <f t="shared" si="20"/>
        <v>966.03999656775659</v>
      </c>
      <c r="E132" s="6">
        <f>E131</f>
        <v>8.5290000000000005E-2</v>
      </c>
      <c r="F132" s="7"/>
      <c r="G132" s="8" t="s">
        <v>25</v>
      </c>
      <c r="H132" s="5">
        <v>28829</v>
      </c>
      <c r="I132" s="12">
        <f t="shared" si="21"/>
        <v>12763.656289028153</v>
      </c>
      <c r="J132" s="12">
        <f t="shared" si="22"/>
        <v>1038.0681659866598</v>
      </c>
      <c r="K132" s="6">
        <f>K131</f>
        <v>8.133E-2</v>
      </c>
      <c r="L132" s="7"/>
      <c r="M132" s="8" t="s">
        <v>25</v>
      </c>
      <c r="N132" s="12">
        <f t="shared" si="23"/>
        <v>1437.1233242285689</v>
      </c>
      <c r="O132" s="34">
        <f t="shared" si="23"/>
        <v>72.02816941890319</v>
      </c>
    </row>
    <row r="133" spans="1:15">
      <c r="A133" s="8" t="s">
        <v>27</v>
      </c>
      <c r="B133" s="5">
        <v>799600</v>
      </c>
      <c r="C133" s="12">
        <f t="shared" si="19"/>
        <v>354012.26434170146</v>
      </c>
      <c r="D133" s="12">
        <f t="shared" si="20"/>
        <v>30193.706025703719</v>
      </c>
      <c r="E133" s="6">
        <f>E131</f>
        <v>8.5290000000000005E-2</v>
      </c>
      <c r="F133" s="7"/>
      <c r="G133" s="8" t="s">
        <v>27</v>
      </c>
      <c r="H133" s="5">
        <v>887480</v>
      </c>
      <c r="I133" s="12">
        <f t="shared" si="21"/>
        <v>392919.96543018159</v>
      </c>
      <c r="J133" s="12">
        <f t="shared" si="22"/>
        <v>31956.180788436668</v>
      </c>
      <c r="K133" s="6">
        <f>K131</f>
        <v>8.133E-2</v>
      </c>
      <c r="L133" s="7"/>
      <c r="M133" s="8" t="s">
        <v>27</v>
      </c>
      <c r="N133" s="12">
        <f t="shared" si="23"/>
        <v>38907.701088480128</v>
      </c>
      <c r="O133" s="34">
        <f t="shared" si="23"/>
        <v>1762.4747627329489</v>
      </c>
    </row>
    <row r="134" spans="1:15">
      <c r="A134" s="8" t="s">
        <v>32</v>
      </c>
      <c r="B134" s="5">
        <v>58595</v>
      </c>
      <c r="C134" s="12">
        <f t="shared" si="19"/>
        <v>25942.156864809902</v>
      </c>
      <c r="D134" s="12">
        <f t="shared" si="20"/>
        <v>2212.6065589996365</v>
      </c>
      <c r="E134" s="6">
        <f>E131</f>
        <v>8.5290000000000005E-2</v>
      </c>
      <c r="F134" s="7"/>
      <c r="G134" s="8" t="s">
        <v>32</v>
      </c>
      <c r="H134" s="5">
        <v>19323</v>
      </c>
      <c r="I134" s="12">
        <f t="shared" si="21"/>
        <v>8555.0012304585998</v>
      </c>
      <c r="J134" s="12">
        <f t="shared" si="22"/>
        <v>695.77825007319791</v>
      </c>
      <c r="K134" s="6">
        <f>K131</f>
        <v>8.133E-2</v>
      </c>
      <c r="L134" s="7"/>
      <c r="M134" s="8" t="s">
        <v>32</v>
      </c>
      <c r="N134" s="12">
        <f t="shared" si="23"/>
        <v>-17387.1556343513</v>
      </c>
      <c r="O134" s="34">
        <f t="shared" si="23"/>
        <v>-1516.8283089264387</v>
      </c>
    </row>
    <row r="135" spans="1:15">
      <c r="A135" s="8" t="s">
        <v>28</v>
      </c>
      <c r="B135" s="5">
        <v>8784944</v>
      </c>
      <c r="C135" s="12">
        <f t="shared" si="19"/>
        <v>3889417.1054965532</v>
      </c>
      <c r="D135" s="47">
        <f t="shared" si="20"/>
        <v>331728.38492780103</v>
      </c>
      <c r="E135" s="6">
        <f>E131</f>
        <v>8.5290000000000005E-2</v>
      </c>
      <c r="F135" s="7"/>
      <c r="G135" s="8" t="s">
        <v>28</v>
      </c>
      <c r="H135" s="5">
        <v>7933701</v>
      </c>
      <c r="I135" s="12">
        <f t="shared" si="21"/>
        <v>3512540.5898199365</v>
      </c>
      <c r="J135" s="47">
        <f t="shared" si="22"/>
        <v>285674.92617005546</v>
      </c>
      <c r="K135" s="6">
        <f>K131</f>
        <v>8.133E-2</v>
      </c>
      <c r="L135" s="7"/>
      <c r="M135" s="8" t="s">
        <v>28</v>
      </c>
      <c r="N135" s="12">
        <f t="shared" si="23"/>
        <v>-376876.51567661669</v>
      </c>
      <c r="O135" s="34">
        <f t="shared" si="23"/>
        <v>-46053.458757745568</v>
      </c>
    </row>
    <row r="136" spans="1:15">
      <c r="A136" s="8" t="s">
        <v>33</v>
      </c>
      <c r="B136" s="5">
        <v>0</v>
      </c>
      <c r="C136" s="12">
        <f t="shared" si="19"/>
        <v>0</v>
      </c>
      <c r="D136" s="12">
        <f t="shared" si="20"/>
        <v>0</v>
      </c>
      <c r="E136" s="6">
        <f>E131</f>
        <v>8.5290000000000005E-2</v>
      </c>
      <c r="F136" s="7"/>
      <c r="G136" s="8" t="s">
        <v>33</v>
      </c>
      <c r="H136" s="5">
        <v>0</v>
      </c>
      <c r="I136" s="12">
        <f t="shared" si="21"/>
        <v>0</v>
      </c>
      <c r="J136" s="12">
        <f t="shared" si="22"/>
        <v>0</v>
      </c>
      <c r="K136" s="6">
        <f>K131</f>
        <v>8.133E-2</v>
      </c>
      <c r="L136" s="7"/>
      <c r="M136" s="8" t="s">
        <v>33</v>
      </c>
      <c r="N136" s="12">
        <f t="shared" si="23"/>
        <v>0</v>
      </c>
      <c r="O136" s="34">
        <f t="shared" si="23"/>
        <v>0</v>
      </c>
    </row>
    <row r="137" spans="1:15">
      <c r="A137" s="8" t="s">
        <v>29</v>
      </c>
      <c r="B137" s="36">
        <v>1738652</v>
      </c>
      <c r="C137" s="37">
        <f t="shared" si="19"/>
        <v>769765.04680118547</v>
      </c>
      <c r="D137" s="49">
        <f t="shared" si="20"/>
        <v>65653.260841673109</v>
      </c>
      <c r="E137" s="6">
        <f>E131</f>
        <v>8.5290000000000005E-2</v>
      </c>
      <c r="F137" s="7"/>
      <c r="G137" s="8" t="s">
        <v>29</v>
      </c>
      <c r="H137" s="36">
        <v>1621745</v>
      </c>
      <c r="I137" s="37">
        <f t="shared" si="21"/>
        <v>718006.0275573195</v>
      </c>
      <c r="J137" s="49">
        <f t="shared" si="22"/>
        <v>58395.430221236791</v>
      </c>
      <c r="K137" s="6">
        <f>K131</f>
        <v>8.133E-2</v>
      </c>
      <c r="L137" s="7"/>
      <c r="M137" s="8" t="s">
        <v>29</v>
      </c>
      <c r="N137" s="37">
        <f t="shared" si="23"/>
        <v>-51759.019243865972</v>
      </c>
      <c r="O137" s="38">
        <f t="shared" si="23"/>
        <v>-7257.830620436318</v>
      </c>
    </row>
    <row r="138" spans="1:15">
      <c r="A138" s="8"/>
      <c r="B138" s="12"/>
      <c r="C138" s="12"/>
      <c r="D138" s="12"/>
      <c r="E138" s="6"/>
      <c r="F138" s="7"/>
      <c r="G138" s="8"/>
      <c r="H138" s="12"/>
      <c r="I138" s="12"/>
      <c r="J138" s="12"/>
      <c r="K138" s="6"/>
      <c r="L138" s="7"/>
      <c r="M138" s="8"/>
      <c r="N138" s="12"/>
      <c r="O138" s="34"/>
    </row>
    <row r="139" spans="1:15">
      <c r="A139" s="8" t="s">
        <v>22</v>
      </c>
      <c r="B139" s="12">
        <f>SUM(B131:B138)</f>
        <v>11571778</v>
      </c>
      <c r="C139" s="12">
        <f>SUM(C131:C138)</f>
        <v>5123250.7906947033</v>
      </c>
      <c r="D139" s="12">
        <f>SUM(D131:D138)</f>
        <v>436962.05993835133</v>
      </c>
      <c r="E139" s="6"/>
      <c r="F139" s="7"/>
      <c r="G139" s="8" t="s">
        <v>22</v>
      </c>
      <c r="H139" s="12">
        <f>SUM(H131:H138)</f>
        <v>10675237</v>
      </c>
      <c r="I139" s="12">
        <f>SUM(I131:I138)</f>
        <v>4726319.1880369093</v>
      </c>
      <c r="J139" s="12">
        <f>SUM(J131:J138)</f>
        <v>384391.53956304176</v>
      </c>
      <c r="K139" s="6"/>
      <c r="L139" s="7"/>
      <c r="M139" s="8" t="s">
        <v>22</v>
      </c>
      <c r="N139" s="12">
        <f>SUM(N131:N138)</f>
        <v>-396931.60265779519</v>
      </c>
      <c r="O139" s="34">
        <f>SUM(O131:O138)</f>
        <v>-52570.520375309497</v>
      </c>
    </row>
    <row r="140" spans="1:15">
      <c r="A140" s="48"/>
      <c r="B140" s="47"/>
      <c r="C140" s="47"/>
      <c r="D140" s="12"/>
      <c r="E140" s="6"/>
      <c r="F140" s="7"/>
      <c r="G140" s="48"/>
      <c r="H140" s="47"/>
      <c r="I140" s="47"/>
      <c r="J140" s="12"/>
      <c r="K140" s="6"/>
      <c r="L140" s="7"/>
      <c r="M140" s="8"/>
      <c r="N140" s="12"/>
      <c r="O140" s="34"/>
    </row>
    <row r="141" spans="1:15">
      <c r="A141" s="8"/>
      <c r="B141" s="12"/>
      <c r="C141" s="12"/>
      <c r="D141" s="12"/>
      <c r="E141" s="6"/>
      <c r="F141" s="7"/>
      <c r="G141" s="8"/>
      <c r="H141" s="12"/>
      <c r="I141" s="12"/>
      <c r="J141" s="12"/>
      <c r="K141" s="6"/>
      <c r="L141" s="7"/>
      <c r="M141" s="8"/>
      <c r="N141" s="12"/>
      <c r="O141" s="34"/>
    </row>
    <row r="142" spans="1:15">
      <c r="A142" s="43" t="s">
        <v>38</v>
      </c>
      <c r="B142" s="16">
        <f>B139+B127+B114</f>
        <v>234888422</v>
      </c>
      <c r="C142" s="16">
        <f>C139+C127+C114</f>
        <v>103993725.53710496</v>
      </c>
      <c r="D142" s="16">
        <f>D139+D127+D114</f>
        <v>12756298.628546927</v>
      </c>
      <c r="E142" s="44"/>
      <c r="F142" s="45"/>
      <c r="G142" s="43" t="s">
        <v>38</v>
      </c>
      <c r="H142" s="16">
        <f>H139+H127+H114</f>
        <v>279741527</v>
      </c>
      <c r="I142" s="16">
        <f>I139+I127+I114</f>
        <v>123851841.17468137</v>
      </c>
      <c r="J142" s="16">
        <f>J139+J127+J114</f>
        <v>14565413.716560677</v>
      </c>
      <c r="K142" s="44"/>
      <c r="L142" s="45"/>
      <c r="M142" s="43" t="s">
        <v>38</v>
      </c>
      <c r="N142" s="16">
        <f>N139+N127+N114</f>
        <v>19858115.637576401</v>
      </c>
      <c r="O142" s="46">
        <f>O139+O127+O114</f>
        <v>1809115.0880137496</v>
      </c>
    </row>
    <row r="143" spans="1:15">
      <c r="A143" s="12"/>
      <c r="B143" s="12"/>
      <c r="C143" s="12"/>
      <c r="D143" s="12"/>
      <c r="E143" s="6"/>
      <c r="F143" s="7"/>
      <c r="G143" s="12"/>
      <c r="H143" s="12"/>
      <c r="I143" s="12"/>
      <c r="J143" s="12"/>
      <c r="K143" s="6"/>
      <c r="L143" s="7"/>
      <c r="M143" s="8"/>
      <c r="N143" s="8"/>
      <c r="O143" s="9"/>
    </row>
    <row r="144" spans="1:15">
      <c r="A144" s="173" t="s">
        <v>39</v>
      </c>
      <c r="B144" s="174"/>
      <c r="C144" s="174"/>
      <c r="D144" s="174"/>
      <c r="E144" s="175"/>
      <c r="F144" s="7"/>
      <c r="G144" s="173" t="s">
        <v>39</v>
      </c>
      <c r="H144" s="174"/>
      <c r="I144" s="174"/>
      <c r="J144" s="174"/>
      <c r="K144" s="175"/>
      <c r="L144" s="7"/>
      <c r="M144" s="173" t="s">
        <v>39</v>
      </c>
      <c r="N144" s="174"/>
      <c r="O144" s="175"/>
    </row>
    <row r="145" spans="1:24">
      <c r="A145" s="21"/>
      <c r="B145" s="21"/>
      <c r="C145" s="21"/>
      <c r="D145" s="21"/>
      <c r="E145" s="22"/>
      <c r="F145" s="23"/>
      <c r="G145" s="21"/>
      <c r="H145" s="21"/>
      <c r="I145" s="21"/>
      <c r="J145" s="21"/>
      <c r="K145" s="22"/>
      <c r="L145" s="24"/>
      <c r="M145" s="8"/>
      <c r="N145" s="21"/>
      <c r="O145" s="25"/>
    </row>
    <row r="146" spans="1:24">
      <c r="A146" s="26"/>
      <c r="B146" s="26"/>
      <c r="C146" s="26" t="s">
        <v>0</v>
      </c>
      <c r="D146" s="26" t="s">
        <v>14</v>
      </c>
      <c r="E146" s="27"/>
      <c r="F146" s="28"/>
      <c r="G146" s="26"/>
      <c r="H146" s="26"/>
      <c r="I146" s="26" t="s">
        <v>0</v>
      </c>
      <c r="J146" s="26" t="s">
        <v>14</v>
      </c>
      <c r="K146" s="27"/>
      <c r="L146" s="28"/>
      <c r="M146" s="8"/>
      <c r="N146" s="26"/>
      <c r="O146" s="9"/>
      <c r="X146" s="29"/>
    </row>
    <row r="147" spans="1:24">
      <c r="A147" s="30"/>
      <c r="B147" s="30" t="s">
        <v>0</v>
      </c>
      <c r="C147" s="30" t="s">
        <v>15</v>
      </c>
      <c r="D147" s="30" t="s">
        <v>15</v>
      </c>
      <c r="E147" s="31" t="s">
        <v>16</v>
      </c>
      <c r="F147" s="32"/>
      <c r="G147" s="30"/>
      <c r="H147" s="30" t="s">
        <v>0</v>
      </c>
      <c r="I147" s="30" t="s">
        <v>15</v>
      </c>
      <c r="J147" s="30" t="s">
        <v>15</v>
      </c>
      <c r="K147" s="31" t="s">
        <v>16</v>
      </c>
      <c r="L147" s="32"/>
      <c r="M147" s="8"/>
      <c r="N147" s="30" t="s">
        <v>0</v>
      </c>
      <c r="O147" s="33" t="s">
        <v>14</v>
      </c>
    </row>
    <row r="148" spans="1:24">
      <c r="A148" s="13" t="s">
        <v>17</v>
      </c>
      <c r="B148" s="21"/>
      <c r="C148" s="21"/>
      <c r="D148" s="21"/>
      <c r="E148" s="22"/>
      <c r="F148" s="24"/>
      <c r="G148" s="13" t="s">
        <v>17</v>
      </c>
      <c r="H148" s="21"/>
      <c r="I148" s="21"/>
      <c r="J148" s="21"/>
      <c r="K148" s="22"/>
      <c r="L148" s="24"/>
      <c r="M148" s="13" t="s">
        <v>17</v>
      </c>
      <c r="N148" s="21"/>
      <c r="O148" s="25"/>
    </row>
    <row r="149" spans="1:24">
      <c r="A149" s="8"/>
      <c r="B149" s="12"/>
      <c r="C149" s="12"/>
      <c r="D149" s="12"/>
      <c r="E149" s="6"/>
      <c r="F149" s="7"/>
      <c r="G149" s="8"/>
      <c r="H149" s="12"/>
      <c r="I149" s="12"/>
      <c r="J149" s="12"/>
      <c r="K149" s="6"/>
      <c r="L149" s="7"/>
      <c r="M149" s="8"/>
      <c r="N149" s="12"/>
      <c r="O149" s="34"/>
    </row>
    <row r="150" spans="1:24">
      <c r="A150" s="8" t="s">
        <v>18</v>
      </c>
      <c r="B150" s="5">
        <v>33966</v>
      </c>
      <c r="C150" s="12">
        <f>B150/$H$222*$J$18</f>
        <v>15037.994710643112</v>
      </c>
      <c r="D150" s="12">
        <f>IF(C150*E150&gt;0,C150*E150,0)</f>
        <v>1484.0996979933686</v>
      </c>
      <c r="E150" s="35">
        <v>9.869E-2</v>
      </c>
      <c r="F150" s="7"/>
      <c r="G150" s="8" t="s">
        <v>18</v>
      </c>
      <c r="H150" s="5">
        <v>34149</v>
      </c>
      <c r="I150" s="12">
        <f>H150/$H$222*$J$18</f>
        <v>15119.015526519213</v>
      </c>
      <c r="J150" s="12">
        <f>IF(I150*K150&gt;0,I150*K150,0)</f>
        <v>1413.930332040077</v>
      </c>
      <c r="K150" s="35">
        <v>9.3520000000000006E-2</v>
      </c>
      <c r="L150" s="7"/>
      <c r="M150" s="8" t="s">
        <v>18</v>
      </c>
      <c r="N150" s="12">
        <f t="shared" ref="N150:O153" si="24">I150-C150</f>
        <v>81.020815876101551</v>
      </c>
      <c r="O150" s="34">
        <f t="shared" si="24"/>
        <v>-70.169365953291617</v>
      </c>
    </row>
    <row r="151" spans="1:24">
      <c r="A151" s="8" t="s">
        <v>19</v>
      </c>
      <c r="B151" s="5">
        <v>2155007</v>
      </c>
      <c r="C151" s="12">
        <f>B151/$H$222*$J$18</f>
        <v>954100.68502028147</v>
      </c>
      <c r="D151" s="12">
        <f>IF(C151*E151&gt;0,C151*E151,0)</f>
        <v>94160.196604651574</v>
      </c>
      <c r="E151" s="6">
        <f>E150</f>
        <v>9.869E-2</v>
      </c>
      <c r="F151" s="7"/>
      <c r="G151" s="8" t="s">
        <v>19</v>
      </c>
      <c r="H151" s="5">
        <v>2895528</v>
      </c>
      <c r="I151" s="12">
        <f>H151/$H$222*$J$18</f>
        <v>1281956.5079349652</v>
      </c>
      <c r="J151" s="12">
        <f>IF(I151*K151&gt;0,I151*K151,0)</f>
        <v>119888.57262207795</v>
      </c>
      <c r="K151" s="6">
        <f>K150</f>
        <v>9.3520000000000006E-2</v>
      </c>
      <c r="L151" s="7"/>
      <c r="M151" s="8" t="s">
        <v>19</v>
      </c>
      <c r="N151" s="12">
        <f t="shared" si="24"/>
        <v>327855.82291468373</v>
      </c>
      <c r="O151" s="34">
        <f t="shared" si="24"/>
        <v>25728.376017426373</v>
      </c>
    </row>
    <row r="152" spans="1:24">
      <c r="A152" s="8" t="s">
        <v>20</v>
      </c>
      <c r="B152" s="5">
        <v>0</v>
      </c>
      <c r="C152" s="12">
        <f>B152/$H$222*$J$18</f>
        <v>0</v>
      </c>
      <c r="D152" s="12">
        <f>IF(C152*E152&gt;0,C152*E152,0)</f>
        <v>0</v>
      </c>
      <c r="E152" s="6">
        <f>E150</f>
        <v>9.869E-2</v>
      </c>
      <c r="F152" s="7"/>
      <c r="G152" s="8" t="s">
        <v>20</v>
      </c>
      <c r="H152" s="5">
        <v>0</v>
      </c>
      <c r="I152" s="12">
        <f>H152/$H$222*$J$18</f>
        <v>0</v>
      </c>
      <c r="J152" s="12">
        <f>IF(I152*K152&gt;0,I152*K152,0)</f>
        <v>0</v>
      </c>
      <c r="K152" s="6">
        <f>K150</f>
        <v>9.3520000000000006E-2</v>
      </c>
      <c r="L152" s="7"/>
      <c r="M152" s="8" t="s">
        <v>20</v>
      </c>
      <c r="N152" s="12">
        <f t="shared" si="24"/>
        <v>0</v>
      </c>
      <c r="O152" s="34">
        <f t="shared" si="24"/>
        <v>0</v>
      </c>
    </row>
    <row r="153" spans="1:24">
      <c r="A153" s="8" t="s">
        <v>21</v>
      </c>
      <c r="B153" s="36">
        <v>1104648</v>
      </c>
      <c r="C153" s="37">
        <f>B153/$H$222*$J$18</f>
        <v>489068.20883007976</v>
      </c>
      <c r="D153" s="37">
        <f>IF(C153*E153&gt;0,C153*E153,0)</f>
        <v>48266.141529440574</v>
      </c>
      <c r="E153" s="39">
        <f>E150</f>
        <v>9.869E-2</v>
      </c>
      <c r="F153" s="7"/>
      <c r="G153" s="8" t="s">
        <v>21</v>
      </c>
      <c r="H153" s="36">
        <v>1697318</v>
      </c>
      <c r="I153" s="37">
        <f>H153/$H$222*$J$18</f>
        <v>751464.96809395694</v>
      </c>
      <c r="J153" s="37">
        <f>IF(I153*K153&gt;0,I153*K153,0)</f>
        <v>70277.003816146855</v>
      </c>
      <c r="K153" s="39">
        <f>K150</f>
        <v>9.3520000000000006E-2</v>
      </c>
      <c r="L153" s="7"/>
      <c r="M153" s="8" t="s">
        <v>21</v>
      </c>
      <c r="N153" s="37">
        <f t="shared" si="24"/>
        <v>262396.75926387717</v>
      </c>
      <c r="O153" s="38">
        <f t="shared" si="24"/>
        <v>22010.86228670628</v>
      </c>
    </row>
    <row r="154" spans="1:24">
      <c r="A154" s="8"/>
      <c r="B154" s="12"/>
      <c r="C154" s="12"/>
      <c r="D154" s="12"/>
      <c r="E154" s="6"/>
      <c r="F154" s="7"/>
      <c r="G154" s="8"/>
      <c r="H154" s="12"/>
      <c r="I154" s="12"/>
      <c r="J154" s="12"/>
      <c r="K154" s="6"/>
      <c r="L154" s="7"/>
      <c r="M154" s="8"/>
      <c r="N154" s="12"/>
      <c r="O154" s="34"/>
    </row>
    <row r="155" spans="1:24">
      <c r="A155" s="8" t="s">
        <v>22</v>
      </c>
      <c r="B155" s="12">
        <f>SUM(B150:B154)</f>
        <v>3293621</v>
      </c>
      <c r="C155" s="12">
        <f>SUM(C150:C154)-1</f>
        <v>1458205.8885610043</v>
      </c>
      <c r="D155" s="12">
        <f>SUM(D150:D154)</f>
        <v>143910.43783208553</v>
      </c>
      <c r="E155" s="6"/>
      <c r="F155" s="7"/>
      <c r="G155" s="8" t="s">
        <v>22</v>
      </c>
      <c r="H155" s="12">
        <f>SUM(H150:H154)</f>
        <v>4626995</v>
      </c>
      <c r="I155" s="12">
        <f>SUM(I150:I154)-1</f>
        <v>2048539.4915554412</v>
      </c>
      <c r="J155" s="12">
        <f>SUM(J150:J154)</f>
        <v>191579.50677026488</v>
      </c>
      <c r="K155" s="6"/>
      <c r="L155" s="7"/>
      <c r="M155" s="8" t="s">
        <v>22</v>
      </c>
      <c r="N155" s="12">
        <f>SUM(N150:N154)</f>
        <v>590333.60299443698</v>
      </c>
      <c r="O155" s="34">
        <f>SUM(O150:O154)</f>
        <v>47669.068938179364</v>
      </c>
    </row>
    <row r="156" spans="1:24">
      <c r="A156" s="8"/>
      <c r="B156" s="12"/>
      <c r="C156" s="12"/>
      <c r="D156" s="12"/>
      <c r="E156" s="6"/>
      <c r="F156" s="7"/>
      <c r="G156" s="8"/>
      <c r="H156" s="12"/>
      <c r="I156" s="12"/>
      <c r="J156" s="12"/>
      <c r="K156" s="6"/>
      <c r="L156" s="7"/>
      <c r="M156" s="8"/>
      <c r="N156" s="12"/>
      <c r="O156" s="34"/>
    </row>
    <row r="157" spans="1:24">
      <c r="A157" s="13" t="s">
        <v>23</v>
      </c>
      <c r="B157" s="12"/>
      <c r="C157" s="12"/>
      <c r="D157" s="12"/>
      <c r="E157" s="6"/>
      <c r="F157" s="7"/>
      <c r="G157" s="13" t="s">
        <v>23</v>
      </c>
      <c r="H157" s="12"/>
      <c r="I157" s="12"/>
      <c r="J157" s="12"/>
      <c r="K157" s="6"/>
      <c r="L157" s="7"/>
      <c r="M157" s="13" t="s">
        <v>23</v>
      </c>
      <c r="N157" s="12"/>
      <c r="O157" s="34"/>
    </row>
    <row r="158" spans="1:24">
      <c r="A158" s="8"/>
      <c r="B158" s="12"/>
      <c r="C158" s="12"/>
      <c r="D158" s="12"/>
      <c r="E158" s="6"/>
      <c r="F158" s="7"/>
      <c r="G158" s="8"/>
      <c r="H158" s="12"/>
      <c r="I158" s="12"/>
      <c r="J158" s="12"/>
      <c r="K158" s="6"/>
      <c r="L158" s="7"/>
      <c r="M158" s="8"/>
      <c r="N158" s="12"/>
      <c r="O158" s="34"/>
    </row>
    <row r="159" spans="1:24">
      <c r="A159" s="8" t="s">
        <v>24</v>
      </c>
      <c r="B159" s="5">
        <v>756306</v>
      </c>
      <c r="C159" s="12">
        <f t="shared" ref="C159:C166" si="25">B159/$H$222*$J$18</f>
        <v>334844.421704871</v>
      </c>
      <c r="D159" s="12">
        <f t="shared" ref="D159:D163" si="26">IF(C159*E159&gt;0,C159*E159,0)</f>
        <v>30869.307236972054</v>
      </c>
      <c r="E159" s="35">
        <v>9.2189999999999994E-2</v>
      </c>
      <c r="F159" s="7"/>
      <c r="G159" s="8" t="s">
        <v>24</v>
      </c>
      <c r="H159" s="5">
        <v>900390</v>
      </c>
      <c r="I159" s="12">
        <f t="shared" ref="I159:I166" si="27">H159/$H$222*$J$18</f>
        <v>398635.69621138641</v>
      </c>
      <c r="J159" s="12">
        <f t="shared" ref="J159:J166" si="28">IF(I159*K159&gt;0,I159*K159,0)</f>
        <v>36526.988843849336</v>
      </c>
      <c r="K159" s="35">
        <v>9.1630000000000003E-2</v>
      </c>
      <c r="L159" s="7"/>
      <c r="M159" s="8" t="s">
        <v>24</v>
      </c>
      <c r="N159" s="12">
        <f t="shared" ref="N159:O166" si="29">I159-C159</f>
        <v>63791.274506515416</v>
      </c>
      <c r="O159" s="34">
        <f t="shared" si="29"/>
        <v>5657.6816068772823</v>
      </c>
    </row>
    <row r="160" spans="1:24">
      <c r="A160" s="8" t="s">
        <v>25</v>
      </c>
      <c r="B160" s="5">
        <v>0</v>
      </c>
      <c r="C160" s="12">
        <f t="shared" si="25"/>
        <v>0</v>
      </c>
      <c r="D160" s="12">
        <f t="shared" si="26"/>
        <v>0</v>
      </c>
      <c r="E160" s="39">
        <f>E159</f>
        <v>9.2189999999999994E-2</v>
      </c>
      <c r="F160" s="7"/>
      <c r="G160" s="8" t="s">
        <v>25</v>
      </c>
      <c r="H160" s="5">
        <v>0</v>
      </c>
      <c r="I160" s="12">
        <f t="shared" si="27"/>
        <v>0</v>
      </c>
      <c r="J160" s="12">
        <f t="shared" si="28"/>
        <v>0</v>
      </c>
      <c r="K160" s="39">
        <f>K159</f>
        <v>9.1630000000000003E-2</v>
      </c>
      <c r="L160" s="7"/>
      <c r="M160" s="8" t="s">
        <v>25</v>
      </c>
      <c r="N160" s="12">
        <f t="shared" si="29"/>
        <v>0</v>
      </c>
      <c r="O160" s="34">
        <f t="shared" si="29"/>
        <v>0</v>
      </c>
    </row>
    <row r="161" spans="1:15">
      <c r="A161" s="8" t="s">
        <v>18</v>
      </c>
      <c r="B161" s="5">
        <v>42640</v>
      </c>
      <c r="C161" s="12">
        <f t="shared" si="25"/>
        <v>18878.292835830602</v>
      </c>
      <c r="D161" s="12">
        <f t="shared" si="26"/>
        <v>1740.389816535223</v>
      </c>
      <c r="E161" s="6">
        <f>E159</f>
        <v>9.2189999999999994E-2</v>
      </c>
      <c r="F161" s="7"/>
      <c r="G161" s="8" t="s">
        <v>18</v>
      </c>
      <c r="H161" s="5">
        <v>42802</v>
      </c>
      <c r="I161" s="12">
        <f t="shared" si="27"/>
        <v>18950.016181032399</v>
      </c>
      <c r="J161" s="12">
        <f t="shared" si="28"/>
        <v>1736.3899826679988</v>
      </c>
      <c r="K161" s="6">
        <f>K159</f>
        <v>9.1630000000000003E-2</v>
      </c>
      <c r="L161" s="7"/>
      <c r="M161" s="8" t="s">
        <v>18</v>
      </c>
      <c r="N161" s="12">
        <f t="shared" si="29"/>
        <v>71.723345201797201</v>
      </c>
      <c r="O161" s="34">
        <f t="shared" si="29"/>
        <v>-3.9998338672241971</v>
      </c>
    </row>
    <row r="162" spans="1:15">
      <c r="A162" s="8" t="s">
        <v>26</v>
      </c>
      <c r="B162" s="5">
        <v>3771</v>
      </c>
      <c r="C162" s="12">
        <f t="shared" si="25"/>
        <v>1669.5600910862381</v>
      </c>
      <c r="D162" s="12">
        <f t="shared" si="26"/>
        <v>153.91674479724028</v>
      </c>
      <c r="E162" s="6">
        <f>E159</f>
        <v>9.2189999999999994E-2</v>
      </c>
      <c r="F162" s="7"/>
      <c r="G162" s="8" t="s">
        <v>26</v>
      </c>
      <c r="H162" s="5">
        <v>1160</v>
      </c>
      <c r="I162" s="12">
        <f t="shared" si="27"/>
        <v>513.5745705807575</v>
      </c>
      <c r="J162" s="12">
        <f t="shared" si="28"/>
        <v>47.058837902314814</v>
      </c>
      <c r="K162" s="6">
        <f>K159</f>
        <v>9.1630000000000003E-2</v>
      </c>
      <c r="L162" s="7"/>
      <c r="M162" s="8" t="s">
        <v>26</v>
      </c>
      <c r="N162" s="12">
        <f t="shared" si="29"/>
        <v>-1155.9855205054805</v>
      </c>
      <c r="O162" s="34">
        <f t="shared" si="29"/>
        <v>-106.85790689492546</v>
      </c>
    </row>
    <row r="163" spans="1:15">
      <c r="A163" s="8" t="s">
        <v>27</v>
      </c>
      <c r="B163" s="5">
        <v>226427</v>
      </c>
      <c r="C163" s="12">
        <f t="shared" si="25"/>
        <v>100247.54249386997</v>
      </c>
      <c r="D163" s="12">
        <f t="shared" si="26"/>
        <v>9241.8209425098721</v>
      </c>
      <c r="E163" s="6">
        <f>E159</f>
        <v>9.2189999999999994E-2</v>
      </c>
      <c r="F163" s="7"/>
      <c r="G163" s="8" t="s">
        <v>27</v>
      </c>
      <c r="H163" s="5">
        <v>251513</v>
      </c>
      <c r="I163" s="12">
        <f t="shared" si="27"/>
        <v>111354.03531937762</v>
      </c>
      <c r="J163" s="12">
        <f t="shared" si="28"/>
        <v>10203.370256314573</v>
      </c>
      <c r="K163" s="6">
        <f>K159</f>
        <v>9.1630000000000003E-2</v>
      </c>
      <c r="L163" s="7"/>
      <c r="M163" s="8" t="s">
        <v>27</v>
      </c>
      <c r="N163" s="12">
        <f t="shared" si="29"/>
        <v>11106.492825507652</v>
      </c>
      <c r="O163" s="34">
        <f t="shared" si="29"/>
        <v>961.54931380470043</v>
      </c>
    </row>
    <row r="164" spans="1:15">
      <c r="A164" s="8" t="s">
        <v>28</v>
      </c>
      <c r="B164" s="5">
        <v>1586262</v>
      </c>
      <c r="C164" s="12">
        <f t="shared" si="25"/>
        <v>702296.40127463231</v>
      </c>
      <c r="D164" s="12">
        <f>IF(C164*E164&gt;0,C164*E164,0)+1</f>
        <v>64745.70523350835</v>
      </c>
      <c r="E164" s="6">
        <f>E159</f>
        <v>9.2189999999999994E-2</v>
      </c>
      <c r="F164" s="7"/>
      <c r="G164" s="8" t="s">
        <v>28</v>
      </c>
      <c r="H164" s="5">
        <v>1563776</v>
      </c>
      <c r="I164" s="12">
        <f t="shared" si="27"/>
        <v>692341.02386594366</v>
      </c>
      <c r="J164" s="12">
        <f>IF(I164*K164&gt;0,I164*K164,0)+1</f>
        <v>63440.208016836419</v>
      </c>
      <c r="K164" s="6">
        <f>K159</f>
        <v>9.1630000000000003E-2</v>
      </c>
      <c r="L164" s="7"/>
      <c r="M164" s="8" t="s">
        <v>28</v>
      </c>
      <c r="N164" s="12">
        <f t="shared" si="29"/>
        <v>-9955.3774086886551</v>
      </c>
      <c r="O164" s="34">
        <f t="shared" si="29"/>
        <v>-1305.4972166719308</v>
      </c>
    </row>
    <row r="165" spans="1:15">
      <c r="A165" s="8" t="s">
        <v>29</v>
      </c>
      <c r="B165" s="5">
        <v>0</v>
      </c>
      <c r="C165" s="12">
        <f t="shared" si="25"/>
        <v>0</v>
      </c>
      <c r="D165" s="12">
        <f t="shared" ref="D165:D166" si="30">IF(C165*E165&gt;0,C165*E165,0)</f>
        <v>0</v>
      </c>
      <c r="E165" s="6">
        <f>E159</f>
        <v>9.2189999999999994E-2</v>
      </c>
      <c r="F165" s="7"/>
      <c r="G165" s="8" t="s">
        <v>29</v>
      </c>
      <c r="H165" s="5">
        <v>0</v>
      </c>
      <c r="I165" s="12">
        <f t="shared" si="27"/>
        <v>0</v>
      </c>
      <c r="J165" s="12">
        <f t="shared" si="28"/>
        <v>0</v>
      </c>
      <c r="K165" s="6">
        <f>K159</f>
        <v>9.1630000000000003E-2</v>
      </c>
      <c r="L165" s="7"/>
      <c r="M165" s="8" t="s">
        <v>29</v>
      </c>
      <c r="N165" s="12">
        <f t="shared" si="29"/>
        <v>0</v>
      </c>
      <c r="O165" s="34">
        <f t="shared" si="29"/>
        <v>0</v>
      </c>
    </row>
    <row r="166" spans="1:15">
      <c r="A166" s="40" t="s">
        <v>30</v>
      </c>
      <c r="B166" s="41">
        <v>0</v>
      </c>
      <c r="C166" s="37">
        <f t="shared" si="25"/>
        <v>0</v>
      </c>
      <c r="D166" s="37">
        <f t="shared" si="30"/>
        <v>0</v>
      </c>
      <c r="E166" s="6">
        <f>E159</f>
        <v>9.2189999999999994E-2</v>
      </c>
      <c r="F166" s="7"/>
      <c r="G166" s="40" t="s">
        <v>30</v>
      </c>
      <c r="H166" s="41">
        <v>0</v>
      </c>
      <c r="I166" s="37">
        <f t="shared" si="27"/>
        <v>0</v>
      </c>
      <c r="J166" s="37">
        <f t="shared" si="28"/>
        <v>0</v>
      </c>
      <c r="K166" s="6">
        <f>K159</f>
        <v>9.1630000000000003E-2</v>
      </c>
      <c r="L166" s="7"/>
      <c r="M166" s="1" t="s">
        <v>30</v>
      </c>
      <c r="N166" s="37">
        <f t="shared" si="29"/>
        <v>0</v>
      </c>
      <c r="O166" s="38">
        <f t="shared" si="29"/>
        <v>0</v>
      </c>
    </row>
    <row r="167" spans="1:15">
      <c r="A167" s="8"/>
      <c r="B167" s="12"/>
      <c r="C167" s="12"/>
      <c r="D167" s="12"/>
      <c r="E167" s="6"/>
      <c r="F167" s="7"/>
      <c r="G167" s="8"/>
      <c r="H167" s="12"/>
      <c r="I167" s="12"/>
      <c r="J167" s="12"/>
      <c r="K167" s="6"/>
      <c r="L167" s="7"/>
      <c r="M167" s="8"/>
      <c r="N167" s="12"/>
      <c r="O167" s="34"/>
    </row>
    <row r="168" spans="1:15">
      <c r="A168" s="8" t="s">
        <v>22</v>
      </c>
      <c r="B168" s="12">
        <f>SUM(B159:B167)</f>
        <v>2615406</v>
      </c>
      <c r="C168" s="12">
        <f>SUM(C159:C167)+1</f>
        <v>1157937.2184002902</v>
      </c>
      <c r="D168" s="12">
        <f>SUM(D159:D167)</f>
        <v>106751.13997432274</v>
      </c>
      <c r="E168" s="6"/>
      <c r="F168" s="7"/>
      <c r="G168" s="8" t="s">
        <v>22</v>
      </c>
      <c r="H168" s="12">
        <f>SUM(H159:H167)</f>
        <v>2759641</v>
      </c>
      <c r="I168" s="12">
        <f>SUM(I159:I167)+1</f>
        <v>1221795.3461483209</v>
      </c>
      <c r="J168" s="12">
        <f>SUM(J159:J167)</f>
        <v>111954.01593757064</v>
      </c>
      <c r="K168" s="6"/>
      <c r="L168" s="7"/>
      <c r="M168" s="8" t="s">
        <v>22</v>
      </c>
      <c r="N168" s="12">
        <f>SUM(N159:N167)</f>
        <v>63858.127748030733</v>
      </c>
      <c r="O168" s="34">
        <f>SUM(O159:O167)</f>
        <v>5202.8759632479023</v>
      </c>
    </row>
    <row r="169" spans="1:15">
      <c r="A169" s="8"/>
      <c r="B169" s="12"/>
      <c r="C169" s="12"/>
      <c r="D169" s="12"/>
      <c r="E169" s="6"/>
      <c r="F169" s="7"/>
      <c r="G169" s="8"/>
      <c r="H169" s="12"/>
      <c r="I169" s="12"/>
      <c r="J169" s="12"/>
      <c r="K169" s="6"/>
      <c r="L169" s="7"/>
      <c r="M169" s="8"/>
      <c r="N169" s="12"/>
      <c r="O169" s="34"/>
    </row>
    <row r="170" spans="1:15">
      <c r="A170" s="13" t="s">
        <v>31</v>
      </c>
      <c r="B170" s="12"/>
      <c r="C170" s="12"/>
      <c r="D170" s="12"/>
      <c r="E170" s="6"/>
      <c r="F170" s="7"/>
      <c r="G170" s="13" t="s">
        <v>31</v>
      </c>
      <c r="H170" s="12"/>
      <c r="I170" s="12"/>
      <c r="J170" s="12"/>
      <c r="K170" s="6"/>
      <c r="L170" s="7"/>
      <c r="M170" s="13" t="s">
        <v>31</v>
      </c>
      <c r="N170" s="12"/>
      <c r="O170" s="34"/>
    </row>
    <row r="171" spans="1:15">
      <c r="A171" s="8"/>
      <c r="B171" s="12"/>
      <c r="C171" s="12"/>
      <c r="D171" s="12"/>
      <c r="E171" s="6"/>
      <c r="F171" s="7"/>
      <c r="G171" s="8"/>
      <c r="H171" s="12"/>
      <c r="I171" s="12"/>
      <c r="J171" s="12"/>
      <c r="K171" s="6"/>
      <c r="L171" s="7"/>
      <c r="M171" s="8"/>
      <c r="N171" s="12"/>
      <c r="O171" s="34"/>
    </row>
    <row r="172" spans="1:15">
      <c r="A172" s="8" t="s">
        <v>24</v>
      </c>
      <c r="B172" s="5">
        <v>11</v>
      </c>
      <c r="C172" s="12">
        <f t="shared" ref="C172:C178" si="31">B172/$H$222*$J$18</f>
        <v>4.8701036865416656</v>
      </c>
      <c r="D172" s="12">
        <f>IF(C172*E172&gt;0,C172*E172,0)</f>
        <v>0.38897518144408283</v>
      </c>
      <c r="E172" s="35">
        <v>7.9869999999999997E-2</v>
      </c>
      <c r="F172" s="7"/>
      <c r="G172" s="8" t="s">
        <v>24</v>
      </c>
      <c r="H172" s="5">
        <v>42</v>
      </c>
      <c r="I172" s="12">
        <f t="shared" ref="I172:I178" si="32">H172/$H$222*$J$18</f>
        <v>18.594941348613634</v>
      </c>
      <c r="J172" s="12">
        <f>IF(I172*K172&gt;0,I172*K172,0)</f>
        <v>1.4663970747516712</v>
      </c>
      <c r="K172" s="35">
        <v>7.886E-2</v>
      </c>
      <c r="L172" s="7"/>
      <c r="M172" s="8" t="s">
        <v>24</v>
      </c>
      <c r="N172" s="12">
        <f t="shared" ref="N172:O178" si="33">I172-C172</f>
        <v>13.72483766207197</v>
      </c>
      <c r="O172" s="34">
        <f t="shared" si="33"/>
        <v>1.0774218933075885</v>
      </c>
    </row>
    <row r="173" spans="1:15">
      <c r="A173" s="8" t="s">
        <v>25</v>
      </c>
      <c r="B173" s="5">
        <v>0</v>
      </c>
      <c r="C173" s="12">
        <f t="shared" si="31"/>
        <v>0</v>
      </c>
      <c r="D173" s="12">
        <f>IF(C173*E173&gt;0,C173*E173,0)</f>
        <v>0</v>
      </c>
      <c r="E173" s="6">
        <f>E172</f>
        <v>7.9869999999999997E-2</v>
      </c>
      <c r="F173" s="7"/>
      <c r="G173" s="8" t="s">
        <v>25</v>
      </c>
      <c r="H173" s="5">
        <v>0</v>
      </c>
      <c r="I173" s="12">
        <f t="shared" si="32"/>
        <v>0</v>
      </c>
      <c r="J173" s="12">
        <f>IF(I173*K173&gt;0,I173*K173,0)</f>
        <v>0</v>
      </c>
      <c r="K173" s="6">
        <f>K172</f>
        <v>7.886E-2</v>
      </c>
      <c r="L173" s="7"/>
      <c r="M173" s="8" t="s">
        <v>25</v>
      </c>
      <c r="N173" s="12">
        <f t="shared" si="33"/>
        <v>0</v>
      </c>
      <c r="O173" s="34">
        <f t="shared" si="33"/>
        <v>0</v>
      </c>
    </row>
    <row r="174" spans="1:15">
      <c r="A174" s="8" t="s">
        <v>27</v>
      </c>
      <c r="B174" s="5">
        <v>0</v>
      </c>
      <c r="C174" s="12">
        <f t="shared" si="31"/>
        <v>0</v>
      </c>
      <c r="D174" s="12">
        <f>C174*E174</f>
        <v>0</v>
      </c>
      <c r="E174" s="6">
        <f>E172</f>
        <v>7.9869999999999997E-2</v>
      </c>
      <c r="F174" s="7"/>
      <c r="G174" s="8" t="s">
        <v>27</v>
      </c>
      <c r="H174" s="5">
        <v>0</v>
      </c>
      <c r="I174" s="12">
        <f t="shared" si="32"/>
        <v>0</v>
      </c>
      <c r="J174" s="12">
        <f>I174*K174</f>
        <v>0</v>
      </c>
      <c r="K174" s="6">
        <f>K172</f>
        <v>7.886E-2</v>
      </c>
      <c r="L174" s="7"/>
      <c r="M174" s="8" t="s">
        <v>27</v>
      </c>
      <c r="N174" s="12">
        <f t="shared" si="33"/>
        <v>0</v>
      </c>
      <c r="O174" s="34">
        <f t="shared" si="33"/>
        <v>0</v>
      </c>
    </row>
    <row r="175" spans="1:15">
      <c r="A175" s="8" t="s">
        <v>32</v>
      </c>
      <c r="B175" s="5">
        <v>0</v>
      </c>
      <c r="C175" s="12">
        <f t="shared" si="31"/>
        <v>0</v>
      </c>
      <c r="D175" s="12">
        <f>IF(C175*E175&gt;0,C175*E175,0)</f>
        <v>0</v>
      </c>
      <c r="E175" s="6">
        <f>E172</f>
        <v>7.9869999999999997E-2</v>
      </c>
      <c r="F175" s="7"/>
      <c r="G175" s="8" t="s">
        <v>32</v>
      </c>
      <c r="H175" s="5">
        <v>0</v>
      </c>
      <c r="I175" s="12">
        <f t="shared" si="32"/>
        <v>0</v>
      </c>
      <c r="J175" s="12">
        <f>IF(I175*K175&gt;0,I175*K175,0)</f>
        <v>0</v>
      </c>
      <c r="K175" s="6">
        <f>K172</f>
        <v>7.886E-2</v>
      </c>
      <c r="L175" s="7"/>
      <c r="M175" s="8" t="s">
        <v>32</v>
      </c>
      <c r="N175" s="12">
        <f t="shared" si="33"/>
        <v>0</v>
      </c>
      <c r="O175" s="34">
        <f t="shared" si="33"/>
        <v>0</v>
      </c>
    </row>
    <row r="176" spans="1:15">
      <c r="A176" s="8" t="s">
        <v>28</v>
      </c>
      <c r="B176" s="5">
        <v>353813</v>
      </c>
      <c r="C176" s="12">
        <f t="shared" si="31"/>
        <v>156645.99960421512</v>
      </c>
      <c r="D176" s="12">
        <f>IF(C176*E176&gt;0,C176*E176,C176*E176)</f>
        <v>12511.31598838866</v>
      </c>
      <c r="E176" s="6">
        <f>E172</f>
        <v>7.9869999999999997E-2</v>
      </c>
      <c r="F176" s="7"/>
      <c r="G176" s="8" t="s">
        <v>28</v>
      </c>
      <c r="H176" s="5">
        <v>294955</v>
      </c>
      <c r="I176" s="12">
        <f t="shared" si="32"/>
        <v>130587.40298762699</v>
      </c>
      <c r="J176" s="12">
        <f>IF(I176*K176&gt;0,I176*K176,I176*K176)</f>
        <v>10298.122599604265</v>
      </c>
      <c r="K176" s="6">
        <f>K172</f>
        <v>7.886E-2</v>
      </c>
      <c r="L176" s="7"/>
      <c r="M176" s="8" t="s">
        <v>28</v>
      </c>
      <c r="N176" s="12">
        <f t="shared" si="33"/>
        <v>-26058.596616588125</v>
      </c>
      <c r="O176" s="34">
        <f t="shared" si="33"/>
        <v>-2213.1933887843952</v>
      </c>
    </row>
    <row r="177" spans="1:24">
      <c r="A177" s="8" t="s">
        <v>33</v>
      </c>
      <c r="B177" s="5">
        <v>0</v>
      </c>
      <c r="C177" s="12">
        <f t="shared" si="31"/>
        <v>0</v>
      </c>
      <c r="D177" s="12">
        <f>IF(C177*E177&gt;0,C177*E177,0)</f>
        <v>0</v>
      </c>
      <c r="E177" s="6">
        <f>E172</f>
        <v>7.9869999999999997E-2</v>
      </c>
      <c r="F177" s="7"/>
      <c r="G177" s="8" t="s">
        <v>33</v>
      </c>
      <c r="H177" s="5">
        <v>0</v>
      </c>
      <c r="I177" s="12">
        <f t="shared" si="32"/>
        <v>0</v>
      </c>
      <c r="J177" s="12">
        <f>IF(I177*K177&gt;0,I177*K177,0)</f>
        <v>0</v>
      </c>
      <c r="K177" s="6">
        <f>K172</f>
        <v>7.886E-2</v>
      </c>
      <c r="L177" s="7"/>
      <c r="M177" s="8" t="s">
        <v>33</v>
      </c>
      <c r="N177" s="12">
        <f t="shared" si="33"/>
        <v>0</v>
      </c>
      <c r="O177" s="34">
        <f t="shared" si="33"/>
        <v>0</v>
      </c>
    </row>
    <row r="178" spans="1:24">
      <c r="A178" s="8" t="s">
        <v>29</v>
      </c>
      <c r="B178" s="36">
        <v>732000</v>
      </c>
      <c r="C178" s="37">
        <f t="shared" si="31"/>
        <v>324083.26350440906</v>
      </c>
      <c r="D178" s="37">
        <f>IF(C178*E178&gt;0,C178*E178,0)</f>
        <v>25884.53025609715</v>
      </c>
      <c r="E178" s="6">
        <f>E172</f>
        <v>7.9869999999999997E-2</v>
      </c>
      <c r="F178" s="7"/>
      <c r="G178" s="8" t="s">
        <v>29</v>
      </c>
      <c r="H178" s="36">
        <v>910800</v>
      </c>
      <c r="I178" s="37">
        <f t="shared" si="32"/>
        <v>403244.58524564991</v>
      </c>
      <c r="J178" s="37">
        <f>IF(I178*K178&gt;0,I178*K178,0)</f>
        <v>31799.867992471951</v>
      </c>
      <c r="K178" s="6">
        <f>K172</f>
        <v>7.886E-2</v>
      </c>
      <c r="L178" s="7"/>
      <c r="M178" s="8" t="s">
        <v>29</v>
      </c>
      <c r="N178" s="37">
        <f t="shared" si="33"/>
        <v>79161.321741240856</v>
      </c>
      <c r="O178" s="38">
        <f t="shared" si="33"/>
        <v>5915.3377363748004</v>
      </c>
    </row>
    <row r="179" spans="1:24">
      <c r="A179" s="8"/>
      <c r="B179" s="12"/>
      <c r="C179" s="12"/>
      <c r="D179" s="12"/>
      <c r="E179" s="6"/>
      <c r="F179" s="7"/>
      <c r="G179" s="8"/>
      <c r="H179" s="12"/>
      <c r="I179" s="12"/>
      <c r="J179" s="12"/>
      <c r="K179" s="6"/>
      <c r="L179" s="7"/>
      <c r="M179" s="8"/>
      <c r="N179" s="12"/>
      <c r="O179" s="34"/>
    </row>
    <row r="180" spans="1:24">
      <c r="A180" s="8" t="s">
        <v>22</v>
      </c>
      <c r="B180" s="12">
        <f>SUM(B172:B179)</f>
        <v>1085824</v>
      </c>
      <c r="C180" s="12">
        <f>SUM(C172:C179)</f>
        <v>480734.13321231073</v>
      </c>
      <c r="D180" s="12">
        <f>SUM(D172:D179)-1</f>
        <v>38395.235219667258</v>
      </c>
      <c r="E180" s="6"/>
      <c r="F180" s="7"/>
      <c r="G180" s="8" t="s">
        <v>22</v>
      </c>
      <c r="H180" s="12">
        <f>SUM(H172:H179)</f>
        <v>1205797</v>
      </c>
      <c r="I180" s="12">
        <f>SUM(I172:I179)</f>
        <v>533850.58317462553</v>
      </c>
      <c r="J180" s="12">
        <f>SUM(J172:J179)-1</f>
        <v>42098.456989150967</v>
      </c>
      <c r="K180" s="6"/>
      <c r="L180" s="7"/>
      <c r="M180" s="8" t="s">
        <v>22</v>
      </c>
      <c r="N180" s="12">
        <f>SUM(N172:N179)</f>
        <v>53116.4499623148</v>
      </c>
      <c r="O180" s="34">
        <f>SUM(O172:O179)</f>
        <v>3703.2217694837127</v>
      </c>
    </row>
    <row r="181" spans="1:24">
      <c r="A181" s="8"/>
      <c r="B181" s="12"/>
      <c r="C181" s="12"/>
      <c r="D181" s="12"/>
      <c r="E181" s="6"/>
      <c r="F181" s="7"/>
      <c r="G181" s="8"/>
      <c r="H181" s="12"/>
      <c r="I181" s="12"/>
      <c r="J181" s="12"/>
      <c r="K181" s="6"/>
      <c r="L181" s="7"/>
      <c r="M181" s="8"/>
      <c r="N181" s="12"/>
      <c r="O181" s="34"/>
    </row>
    <row r="182" spans="1:24">
      <c r="A182" s="43" t="s">
        <v>40</v>
      </c>
      <c r="B182" s="16">
        <f>B180+B168+B155</f>
        <v>6994851</v>
      </c>
      <c r="C182" s="16">
        <f>C180+C168+C155-1</f>
        <v>3096876.2401736053</v>
      </c>
      <c r="D182" s="16">
        <f>D180+D168+D155</f>
        <v>289056.81302607554</v>
      </c>
      <c r="E182" s="44"/>
      <c r="F182" s="45"/>
      <c r="G182" s="43" t="s">
        <v>40</v>
      </c>
      <c r="H182" s="16">
        <f>H180+H168+H155</f>
        <v>8592433</v>
      </c>
      <c r="I182" s="16">
        <f>I180+I168+I155-1</f>
        <v>3804184.4208783875</v>
      </c>
      <c r="J182" s="16">
        <f>J180+J168+J155</f>
        <v>345631.9796969865</v>
      </c>
      <c r="K182" s="44"/>
      <c r="L182" s="45"/>
      <c r="M182" s="43" t="s">
        <v>40</v>
      </c>
      <c r="N182" s="16">
        <f>N180+N168+N155</f>
        <v>707308.18070478248</v>
      </c>
      <c r="O182" s="46">
        <f>O180+O168+O155</f>
        <v>56575.166670910978</v>
      </c>
    </row>
    <row r="183" spans="1:24">
      <c r="A183" s="12"/>
      <c r="B183" s="12"/>
      <c r="C183" s="12"/>
      <c r="D183" s="12"/>
      <c r="E183" s="6"/>
      <c r="F183" s="7"/>
      <c r="G183" s="12"/>
      <c r="H183" s="12"/>
      <c r="I183" s="12"/>
      <c r="J183" s="12"/>
      <c r="K183" s="6"/>
      <c r="L183" s="7"/>
      <c r="M183" s="8"/>
      <c r="N183" s="8"/>
      <c r="O183" s="9"/>
    </row>
    <row r="184" spans="1:24">
      <c r="A184" s="173" t="s">
        <v>41</v>
      </c>
      <c r="B184" s="174"/>
      <c r="C184" s="174"/>
      <c r="D184" s="174"/>
      <c r="E184" s="175"/>
      <c r="F184" s="7"/>
      <c r="G184" s="173" t="s">
        <v>41</v>
      </c>
      <c r="H184" s="174"/>
      <c r="I184" s="174"/>
      <c r="J184" s="174"/>
      <c r="K184" s="175"/>
      <c r="L184" s="7"/>
      <c r="M184" s="173" t="s">
        <v>41</v>
      </c>
      <c r="N184" s="174"/>
      <c r="O184" s="175"/>
    </row>
    <row r="185" spans="1:24">
      <c r="A185" s="21"/>
      <c r="B185" s="21"/>
      <c r="C185" s="21"/>
      <c r="D185" s="21"/>
      <c r="E185" s="22"/>
      <c r="F185" s="23"/>
      <c r="G185" s="21"/>
      <c r="H185" s="21"/>
      <c r="I185" s="21"/>
      <c r="J185" s="21"/>
      <c r="K185" s="22"/>
      <c r="L185" s="24"/>
      <c r="M185" s="8"/>
      <c r="N185" s="21"/>
      <c r="O185" s="25"/>
    </row>
    <row r="186" spans="1:24">
      <c r="A186" s="26"/>
      <c r="B186" s="26"/>
      <c r="C186" s="26" t="s">
        <v>0</v>
      </c>
      <c r="D186" s="26" t="s">
        <v>14</v>
      </c>
      <c r="E186" s="27"/>
      <c r="F186" s="28"/>
      <c r="G186" s="26"/>
      <c r="H186" s="26"/>
      <c r="I186" s="26" t="s">
        <v>0</v>
      </c>
      <c r="J186" s="26" t="s">
        <v>14</v>
      </c>
      <c r="K186" s="27"/>
      <c r="L186" s="28"/>
      <c r="M186" s="8"/>
      <c r="N186" s="26"/>
      <c r="O186" s="9"/>
      <c r="X186" s="29"/>
    </row>
    <row r="187" spans="1:24">
      <c r="A187" s="30"/>
      <c r="B187" s="30" t="s">
        <v>0</v>
      </c>
      <c r="C187" s="30" t="s">
        <v>15</v>
      </c>
      <c r="D187" s="30" t="s">
        <v>15</v>
      </c>
      <c r="E187" s="31" t="s">
        <v>16</v>
      </c>
      <c r="F187" s="32"/>
      <c r="G187" s="30"/>
      <c r="H187" s="30" t="s">
        <v>0</v>
      </c>
      <c r="I187" s="30" t="s">
        <v>15</v>
      </c>
      <c r="J187" s="30" t="s">
        <v>15</v>
      </c>
      <c r="K187" s="31" t="s">
        <v>16</v>
      </c>
      <c r="L187" s="32"/>
      <c r="M187" s="8"/>
      <c r="N187" s="30" t="s">
        <v>0</v>
      </c>
      <c r="O187" s="33" t="s">
        <v>14</v>
      </c>
    </row>
    <row r="188" spans="1:24">
      <c r="A188" s="13" t="s">
        <v>17</v>
      </c>
      <c r="B188" s="21"/>
      <c r="C188" s="21"/>
      <c r="D188" s="21"/>
      <c r="E188" s="22"/>
      <c r="F188" s="24"/>
      <c r="G188" s="13" t="s">
        <v>17</v>
      </c>
      <c r="H188" s="21"/>
      <c r="I188" s="21"/>
      <c r="J188" s="21"/>
      <c r="K188" s="22"/>
      <c r="L188" s="24"/>
      <c r="M188" s="13" t="s">
        <v>17</v>
      </c>
      <c r="N188" s="21"/>
      <c r="O188" s="25"/>
    </row>
    <row r="189" spans="1:24">
      <c r="A189" s="8"/>
      <c r="B189" s="12"/>
      <c r="C189" s="12"/>
      <c r="D189" s="12"/>
      <c r="E189" s="6"/>
      <c r="F189" s="7"/>
      <c r="G189" s="8"/>
      <c r="H189" s="12"/>
      <c r="I189" s="12"/>
      <c r="J189" s="12"/>
      <c r="K189" s="6"/>
      <c r="L189" s="7"/>
      <c r="M189" s="8"/>
      <c r="N189" s="12"/>
      <c r="O189" s="34"/>
    </row>
    <row r="190" spans="1:24">
      <c r="A190" s="8" t="s">
        <v>18</v>
      </c>
      <c r="B190" s="4">
        <v>446020</v>
      </c>
      <c r="C190" s="4">
        <v>217859.60335492695</v>
      </c>
      <c r="D190" s="4">
        <v>28353.905172029725</v>
      </c>
      <c r="E190" s="42">
        <v>0.13014760302228603</v>
      </c>
      <c r="F190" s="7"/>
      <c r="G190" s="8" t="s">
        <v>18</v>
      </c>
      <c r="H190" s="4">
        <f t="shared" ref="H190:I193" si="34">H150+H109+H68+H27</f>
        <v>446786</v>
      </c>
      <c r="I190" s="4">
        <f>I150+I109+I68+I27</f>
        <v>197808.55869956405</v>
      </c>
      <c r="J190" s="4">
        <f>J150+J109+J68+J27</f>
        <v>24252.491325442996</v>
      </c>
      <c r="K190" s="42">
        <f>IF(I190=0,0,J190/I190)</f>
        <v>0.12260587451263021</v>
      </c>
      <c r="L190" s="7"/>
      <c r="M190" s="8" t="s">
        <v>18</v>
      </c>
      <c r="N190" s="12">
        <f t="shared" ref="N190:O193" si="35">I190-C190</f>
        <v>-20051.044655362901</v>
      </c>
      <c r="O190" s="34">
        <f t="shared" si="35"/>
        <v>-4101.4138465867291</v>
      </c>
    </row>
    <row r="191" spans="1:24">
      <c r="A191" s="8" t="s">
        <v>19</v>
      </c>
      <c r="B191" s="4">
        <v>131590407</v>
      </c>
      <c r="C191" s="12">
        <v>64275668.970748849</v>
      </c>
      <c r="D191" s="12">
        <v>8574590.5479559842</v>
      </c>
      <c r="E191" s="42">
        <v>0.13340336530543442</v>
      </c>
      <c r="F191" s="7"/>
      <c r="G191" s="8" t="s">
        <v>19</v>
      </c>
      <c r="H191" s="4">
        <f>H151+H110+H69+H28</f>
        <v>167469835</v>
      </c>
      <c r="I191" s="12">
        <f t="shared" si="34"/>
        <v>74145041.892547682</v>
      </c>
      <c r="J191" s="12">
        <f>J151+J110+J69+J28+1</f>
        <v>9317070.7309992369</v>
      </c>
      <c r="K191" s="42">
        <f>IF(I191=0,0,J191/I191)</f>
        <v>0.12566006428995888</v>
      </c>
      <c r="L191" s="7"/>
      <c r="M191" s="8" t="s">
        <v>19</v>
      </c>
      <c r="N191" s="12">
        <f t="shared" si="35"/>
        <v>9869372.9217988327</v>
      </c>
      <c r="O191" s="34">
        <f t="shared" si="35"/>
        <v>742480.18304325268</v>
      </c>
    </row>
    <row r="192" spans="1:24">
      <c r="A192" s="8" t="s">
        <v>20</v>
      </c>
      <c r="B192" s="4">
        <v>768355</v>
      </c>
      <c r="C192" s="12">
        <v>375304.9538939395</v>
      </c>
      <c r="D192" s="12">
        <v>45903.548910767742</v>
      </c>
      <c r="E192" s="42">
        <v>0.12231</v>
      </c>
      <c r="F192" s="7"/>
      <c r="G192" s="8" t="s">
        <v>20</v>
      </c>
      <c r="H192" s="4">
        <f t="shared" si="34"/>
        <v>900519</v>
      </c>
      <c r="I192" s="12">
        <f>I152+I111+I70+I29</f>
        <v>398692.8092455286</v>
      </c>
      <c r="J192" s="12">
        <f>J152+J111+J70+J29</f>
        <v>45694.182867630036</v>
      </c>
      <c r="K192" s="42">
        <f>IF(I192=0,0,J192/I192)</f>
        <v>0.11461</v>
      </c>
      <c r="L192" s="7"/>
      <c r="M192" s="8" t="s">
        <v>20</v>
      </c>
      <c r="N192" s="12">
        <f t="shared" si="35"/>
        <v>23387.855351589096</v>
      </c>
      <c r="O192" s="34">
        <f t="shared" si="35"/>
        <v>-209.36604313770658</v>
      </c>
    </row>
    <row r="193" spans="1:15">
      <c r="A193" s="8" t="s">
        <v>21</v>
      </c>
      <c r="B193" s="37">
        <v>3807193</v>
      </c>
      <c r="C193" s="37">
        <v>1859633.103617897</v>
      </c>
      <c r="D193" s="37">
        <v>214708.125790247</v>
      </c>
      <c r="E193" s="42">
        <v>0.11545725088058206</v>
      </c>
      <c r="F193" s="7"/>
      <c r="G193" s="8" t="s">
        <v>21</v>
      </c>
      <c r="H193" s="37">
        <f t="shared" si="34"/>
        <v>5177557</v>
      </c>
      <c r="I193" s="37">
        <f>I153+I112+I71+I30</f>
        <v>2292294.493907237</v>
      </c>
      <c r="J193" s="37">
        <f>J153+J112+J71+J30+1</f>
        <v>246872.47576960688</v>
      </c>
      <c r="K193" s="42">
        <f>IF(I193=0,0,J193/I193)</f>
        <v>0.10769666656085296</v>
      </c>
      <c r="L193" s="7"/>
      <c r="M193" s="8" t="s">
        <v>21</v>
      </c>
      <c r="N193" s="37">
        <f t="shared" si="35"/>
        <v>432661.39028933994</v>
      </c>
      <c r="O193" s="38">
        <f t="shared" si="35"/>
        <v>32164.349979359889</v>
      </c>
    </row>
    <row r="194" spans="1:15">
      <c r="A194" s="8"/>
      <c r="B194" s="12"/>
      <c r="C194" s="12"/>
      <c r="D194" s="12"/>
      <c r="E194" s="6"/>
      <c r="F194" s="7"/>
      <c r="G194" s="8"/>
      <c r="H194" s="12"/>
      <c r="I194" s="12"/>
      <c r="J194" s="12"/>
      <c r="K194" s="6"/>
      <c r="L194" s="7"/>
      <c r="M194" s="8"/>
      <c r="N194" s="12"/>
      <c r="O194" s="34"/>
    </row>
    <row r="195" spans="1:15">
      <c r="A195" s="8" t="s">
        <v>22</v>
      </c>
      <c r="B195" s="12">
        <v>136611975</v>
      </c>
      <c r="C195" s="12">
        <v>66728466.631615609</v>
      </c>
      <c r="D195" s="12">
        <v>8863556.1278290283</v>
      </c>
      <c r="E195" s="6"/>
      <c r="F195" s="7"/>
      <c r="G195" s="8" t="s">
        <v>22</v>
      </c>
      <c r="H195" s="12">
        <f>SUM(H190:H194)</f>
        <v>173994697</v>
      </c>
      <c r="I195" s="12">
        <f>SUM(I190:I194)</f>
        <v>77033837.754400015</v>
      </c>
      <c r="J195" s="12">
        <f>SUM(J190:J194)</f>
        <v>9633889.8809619173</v>
      </c>
      <c r="K195" s="6"/>
      <c r="L195" s="7"/>
      <c r="M195" s="8" t="s">
        <v>22</v>
      </c>
      <c r="N195" s="12">
        <f>SUM(N190:N194)</f>
        <v>10305371.1227844</v>
      </c>
      <c r="O195" s="34">
        <f>SUM(O190:O194)</f>
        <v>770333.75313288812</v>
      </c>
    </row>
    <row r="196" spans="1:15">
      <c r="A196" s="8"/>
      <c r="B196" s="12"/>
      <c r="C196" s="12"/>
      <c r="D196" s="12"/>
      <c r="E196" s="6"/>
      <c r="F196" s="7"/>
      <c r="G196" s="8"/>
      <c r="H196" s="12"/>
      <c r="I196" s="12"/>
      <c r="J196" s="12"/>
      <c r="K196" s="6"/>
      <c r="L196" s="7"/>
      <c r="M196" s="8"/>
      <c r="N196" s="12"/>
      <c r="O196" s="34"/>
    </row>
    <row r="197" spans="1:15">
      <c r="A197" s="13" t="s">
        <v>23</v>
      </c>
      <c r="B197" s="12"/>
      <c r="C197" s="12"/>
      <c r="D197" s="12"/>
      <c r="E197" s="6"/>
      <c r="F197" s="7"/>
      <c r="G197" s="13" t="s">
        <v>23</v>
      </c>
      <c r="H197" s="12"/>
      <c r="I197" s="12"/>
      <c r="J197" s="12"/>
      <c r="K197" s="6"/>
      <c r="L197" s="7"/>
      <c r="M197" s="13" t="s">
        <v>23</v>
      </c>
      <c r="N197" s="12"/>
      <c r="O197" s="34"/>
    </row>
    <row r="198" spans="1:15">
      <c r="A198" s="8"/>
      <c r="B198" s="12"/>
      <c r="C198" s="12"/>
      <c r="D198" s="12"/>
      <c r="E198" s="6"/>
      <c r="F198" s="7"/>
      <c r="G198" s="8"/>
      <c r="H198" s="12"/>
      <c r="I198" s="12"/>
      <c r="J198" s="12"/>
      <c r="K198" s="6"/>
      <c r="L198" s="7"/>
      <c r="M198" s="8"/>
      <c r="N198" s="12"/>
      <c r="O198" s="34"/>
    </row>
    <row r="199" spans="1:15">
      <c r="A199" s="8" t="s">
        <v>24</v>
      </c>
      <c r="B199" s="4">
        <v>24700298</v>
      </c>
      <c r="C199" s="12">
        <v>12064923.377939319</v>
      </c>
      <c r="D199" s="12">
        <v>1354465.0199843564</v>
      </c>
      <c r="E199" s="42">
        <v>0.11226470136238015</v>
      </c>
      <c r="F199" s="7"/>
      <c r="G199" s="8" t="s">
        <v>24</v>
      </c>
      <c r="H199" s="4">
        <f t="shared" ref="H199:J206" si="36">H159+H118+H77+H36</f>
        <v>27226430</v>
      </c>
      <c r="I199" s="12">
        <f t="shared" si="36"/>
        <v>12054139.737669874</v>
      </c>
      <c r="J199" s="12">
        <f>J159+J118+J77+J36</f>
        <v>1305453.411704743</v>
      </c>
      <c r="K199" s="42">
        <f t="shared" ref="K199:K206" si="37">IF(I199=0,0,J199/I199)</f>
        <v>0.10829917688983866</v>
      </c>
      <c r="L199" s="7"/>
      <c r="M199" s="8" t="s">
        <v>24</v>
      </c>
      <c r="N199" s="12">
        <f t="shared" ref="N199:O206" si="38">I199-C199</f>
        <v>-10783.640269445255</v>
      </c>
      <c r="O199" s="34">
        <f t="shared" si="38"/>
        <v>-49011.608279613312</v>
      </c>
    </row>
    <row r="200" spans="1:15">
      <c r="A200" s="8" t="s">
        <v>25</v>
      </c>
      <c r="B200" s="4">
        <v>6762546</v>
      </c>
      <c r="C200" s="12">
        <v>3303182.7927659024</v>
      </c>
      <c r="D200" s="12">
        <v>372945.87051333877</v>
      </c>
      <c r="E200" s="42">
        <v>0.1129050052361936</v>
      </c>
      <c r="F200" s="7"/>
      <c r="G200" s="8" t="s">
        <v>25</v>
      </c>
      <c r="H200" s="4">
        <f t="shared" si="36"/>
        <v>7553367</v>
      </c>
      <c r="I200" s="12">
        <f>I160+I119+I78+I37</f>
        <v>3344152.770227469</v>
      </c>
      <c r="J200" s="12">
        <f t="shared" si="36"/>
        <v>364326.38503268448</v>
      </c>
      <c r="K200" s="42">
        <f t="shared" si="37"/>
        <v>0.10894430071384061</v>
      </c>
      <c r="L200" s="7"/>
      <c r="M200" s="8" t="s">
        <v>25</v>
      </c>
      <c r="N200" s="12">
        <f t="shared" si="38"/>
        <v>40969.977461566683</v>
      </c>
      <c r="O200" s="34">
        <f t="shared" si="38"/>
        <v>-8619.4854806542862</v>
      </c>
    </row>
    <row r="201" spans="1:15">
      <c r="A201" s="8" t="s">
        <v>18</v>
      </c>
      <c r="B201" s="4">
        <v>779623</v>
      </c>
      <c r="C201" s="12">
        <v>380808.8371516483</v>
      </c>
      <c r="D201" s="12">
        <v>42697.447970828704</v>
      </c>
      <c r="E201" s="42">
        <v>0.11212304916607131</v>
      </c>
      <c r="F201" s="7"/>
      <c r="G201" s="8" t="s">
        <v>18</v>
      </c>
      <c r="H201" s="4">
        <f t="shared" si="36"/>
        <v>789441</v>
      </c>
      <c r="I201" s="12">
        <f t="shared" si="36"/>
        <v>349514.50221883081</v>
      </c>
      <c r="J201" s="12">
        <f t="shared" si="36"/>
        <v>37833.10841549874</v>
      </c>
      <c r="K201" s="42">
        <f t="shared" si="37"/>
        <v>0.10824474571247249</v>
      </c>
      <c r="L201" s="7"/>
      <c r="M201" s="8" t="s">
        <v>18</v>
      </c>
      <c r="N201" s="12">
        <f t="shared" si="38"/>
        <v>-31294.334932817495</v>
      </c>
      <c r="O201" s="34">
        <f t="shared" si="38"/>
        <v>-4864.3395553299633</v>
      </c>
    </row>
    <row r="202" spans="1:15">
      <c r="A202" s="8" t="s">
        <v>26</v>
      </c>
      <c r="B202" s="4">
        <v>34577</v>
      </c>
      <c r="C202" s="12">
        <v>16889.22358908414</v>
      </c>
      <c r="D202" s="12">
        <v>1892.4372980068097</v>
      </c>
      <c r="E202" s="42">
        <v>0.11204998785319721</v>
      </c>
      <c r="F202" s="7"/>
      <c r="G202" s="8" t="s">
        <v>26</v>
      </c>
      <c r="H202" s="4">
        <f t="shared" si="36"/>
        <v>14787</v>
      </c>
      <c r="I202" s="12">
        <f t="shared" si="36"/>
        <v>6546.7475648083282</v>
      </c>
      <c r="J202" s="12">
        <f>J162+J121+J80+J39</f>
        <v>715.35998068551271</v>
      </c>
      <c r="K202" s="42">
        <f t="shared" si="37"/>
        <v>0.10926952255359439</v>
      </c>
      <c r="L202" s="7"/>
      <c r="M202" s="8" t="s">
        <v>26</v>
      </c>
      <c r="N202" s="12">
        <f t="shared" si="38"/>
        <v>-10342.476024275813</v>
      </c>
      <c r="O202" s="34">
        <f t="shared" si="38"/>
        <v>-1177.077317321297</v>
      </c>
    </row>
    <row r="203" spans="1:15">
      <c r="A203" s="8" t="s">
        <v>27</v>
      </c>
      <c r="B203" s="4">
        <v>25751172</v>
      </c>
      <c r="C203" s="12">
        <v>12578225.455908928</v>
      </c>
      <c r="D203" s="12">
        <v>1418298.1436378798</v>
      </c>
      <c r="E203" s="42">
        <v>0.11275820652201775</v>
      </c>
      <c r="F203" s="7"/>
      <c r="G203" s="8" t="s">
        <v>27</v>
      </c>
      <c r="H203" s="4">
        <f t="shared" si="36"/>
        <v>30053680</v>
      </c>
      <c r="I203" s="12">
        <f t="shared" si="36"/>
        <v>13305867.069285775</v>
      </c>
      <c r="J203" s="12">
        <f>J163+J122+J81+J40</f>
        <v>1446305.5615731818</v>
      </c>
      <c r="K203" s="42">
        <f t="shared" si="37"/>
        <v>0.10869682930409855</v>
      </c>
      <c r="L203" s="7"/>
      <c r="M203" s="8" t="s">
        <v>27</v>
      </c>
      <c r="N203" s="12">
        <f t="shared" si="38"/>
        <v>727641.61337684654</v>
      </c>
      <c r="O203" s="34">
        <f t="shared" si="38"/>
        <v>28007.417935302015</v>
      </c>
    </row>
    <row r="204" spans="1:15">
      <c r="A204" s="8" t="s">
        <v>28</v>
      </c>
      <c r="B204" s="4">
        <v>48818788</v>
      </c>
      <c r="C204" s="12">
        <v>23845661.158576451</v>
      </c>
      <c r="D204" s="12">
        <v>2672731.6642434173</v>
      </c>
      <c r="E204" s="42">
        <v>0.11208461138776725</v>
      </c>
      <c r="F204" s="7"/>
      <c r="G204" s="8" t="s">
        <v>28</v>
      </c>
      <c r="H204" s="4">
        <f t="shared" si="36"/>
        <v>50005693</v>
      </c>
      <c r="I204" s="12">
        <f t="shared" si="36"/>
        <v>22139355.438851889</v>
      </c>
      <c r="J204" s="12">
        <f>J164+J123+J82+J41</f>
        <v>2394069.6856902903</v>
      </c>
      <c r="K204" s="42">
        <f t="shared" si="37"/>
        <v>0.10813637697369399</v>
      </c>
      <c r="L204" s="7"/>
      <c r="M204" s="8" t="s">
        <v>28</v>
      </c>
      <c r="N204" s="12">
        <f t="shared" si="38"/>
        <v>-1706305.719724562</v>
      </c>
      <c r="O204" s="34">
        <f t="shared" si="38"/>
        <v>-278661.97855312703</v>
      </c>
    </row>
    <row r="205" spans="1:15">
      <c r="A205" s="8" t="s">
        <v>29</v>
      </c>
      <c r="B205" s="4">
        <v>2932278</v>
      </c>
      <c r="C205" s="12">
        <v>1432278.6467117586</v>
      </c>
      <c r="D205" s="12">
        <v>161117.02496860572</v>
      </c>
      <c r="E205" s="42">
        <v>0.11249000000000001</v>
      </c>
      <c r="F205" s="7"/>
      <c r="G205" s="8" t="s">
        <v>29</v>
      </c>
      <c r="H205" s="4">
        <f t="shared" si="36"/>
        <v>6021988</v>
      </c>
      <c r="I205" s="12">
        <f t="shared" si="36"/>
        <v>2666155.0871917885</v>
      </c>
      <c r="J205" s="12">
        <f>J165+J124+J83+J42</f>
        <v>289197.84230769327</v>
      </c>
      <c r="K205" s="42">
        <f t="shared" si="37"/>
        <v>0.10846999999999998</v>
      </c>
      <c r="L205" s="7"/>
      <c r="M205" s="8" t="s">
        <v>29</v>
      </c>
      <c r="N205" s="12">
        <f t="shared" si="38"/>
        <v>1233876.4404800299</v>
      </c>
      <c r="O205" s="34">
        <f t="shared" si="38"/>
        <v>128080.81733908755</v>
      </c>
    </row>
    <row r="206" spans="1:15">
      <c r="A206" s="40" t="s">
        <v>30</v>
      </c>
      <c r="B206" s="50">
        <v>0</v>
      </c>
      <c r="C206" s="37">
        <v>0</v>
      </c>
      <c r="D206" s="37">
        <v>0</v>
      </c>
      <c r="E206" s="42">
        <v>0</v>
      </c>
      <c r="F206" s="7"/>
      <c r="G206" s="40" t="s">
        <v>30</v>
      </c>
      <c r="H206" s="50">
        <f t="shared" si="36"/>
        <v>98</v>
      </c>
      <c r="I206" s="37">
        <f t="shared" si="36"/>
        <v>43.388196480098472</v>
      </c>
      <c r="J206" s="37">
        <f t="shared" si="36"/>
        <v>4.7063176721962812</v>
      </c>
      <c r="K206" s="42">
        <f t="shared" si="37"/>
        <v>0.10847</v>
      </c>
      <c r="L206" s="7"/>
      <c r="M206" s="1" t="s">
        <v>30</v>
      </c>
      <c r="N206" s="37">
        <f t="shared" si="38"/>
        <v>43.388196480098472</v>
      </c>
      <c r="O206" s="38">
        <f t="shared" si="38"/>
        <v>4.7063176721962812</v>
      </c>
    </row>
    <row r="207" spans="1:15">
      <c r="A207" s="8"/>
      <c r="B207" s="12"/>
      <c r="C207" s="12"/>
      <c r="D207" s="12"/>
      <c r="E207" s="6"/>
      <c r="F207" s="7"/>
      <c r="G207" s="8"/>
      <c r="H207" s="12"/>
      <c r="I207" s="12"/>
      <c r="J207" s="12"/>
      <c r="K207" s="6"/>
      <c r="L207" s="7"/>
      <c r="M207" s="8"/>
      <c r="N207" s="12"/>
      <c r="O207" s="34"/>
    </row>
    <row r="208" spans="1:15">
      <c r="A208" s="8" t="s">
        <v>22</v>
      </c>
      <c r="B208" s="12">
        <v>109779282</v>
      </c>
      <c r="C208" s="12">
        <v>53621969.492643096</v>
      </c>
      <c r="D208" s="12">
        <v>6024147.608616434</v>
      </c>
      <c r="E208" s="6"/>
      <c r="F208" s="7"/>
      <c r="G208" s="8" t="s">
        <v>22</v>
      </c>
      <c r="H208" s="12">
        <f>SUM(H199:H207)</f>
        <v>121665484</v>
      </c>
      <c r="I208" s="12">
        <f>SUM(I199:I207)</f>
        <v>53865774.741206914</v>
      </c>
      <c r="J208" s="12">
        <f>SUM(J199:J207)</f>
        <v>5837906.0610224493</v>
      </c>
      <c r="K208" s="6"/>
      <c r="L208" s="7"/>
      <c r="M208" s="8" t="s">
        <v>22</v>
      </c>
      <c r="N208" s="12">
        <f>SUM(N199:N207)</f>
        <v>243805.24856382271</v>
      </c>
      <c r="O208" s="34">
        <f>SUM(O199:O207)</f>
        <v>-186241.54759398414</v>
      </c>
    </row>
    <row r="209" spans="1:15">
      <c r="A209" s="8"/>
      <c r="B209" s="12"/>
      <c r="C209" s="12"/>
      <c r="D209" s="12"/>
      <c r="E209" s="6"/>
      <c r="F209" s="7"/>
      <c r="G209" s="8"/>
      <c r="H209" s="12"/>
      <c r="I209" s="12"/>
      <c r="J209" s="12"/>
      <c r="K209" s="6"/>
      <c r="L209" s="7"/>
      <c r="M209" s="8"/>
      <c r="N209" s="12"/>
      <c r="O209" s="34"/>
    </row>
    <row r="210" spans="1:15">
      <c r="A210" s="13" t="s">
        <v>189</v>
      </c>
      <c r="B210" s="12"/>
      <c r="C210" s="12"/>
      <c r="D210" s="12"/>
      <c r="E210" s="6"/>
      <c r="F210" s="7"/>
      <c r="G210" s="13" t="s">
        <v>189</v>
      </c>
      <c r="H210" s="12"/>
      <c r="I210" s="12"/>
      <c r="J210" s="12"/>
      <c r="K210" s="6"/>
      <c r="L210" s="7"/>
      <c r="M210" s="13" t="s">
        <v>31</v>
      </c>
      <c r="N210" s="12"/>
      <c r="O210" s="34"/>
    </row>
    <row r="211" spans="1:15">
      <c r="A211" s="8"/>
      <c r="B211" s="12"/>
      <c r="C211" s="12"/>
      <c r="D211" s="12"/>
      <c r="E211" s="6"/>
      <c r="F211" s="7"/>
      <c r="G211" s="8"/>
      <c r="H211" s="12"/>
      <c r="I211" s="12"/>
      <c r="J211" s="12"/>
      <c r="K211" s="6"/>
      <c r="L211" s="7"/>
      <c r="M211" s="8"/>
      <c r="N211" s="12"/>
      <c r="O211" s="34"/>
    </row>
    <row r="212" spans="1:15">
      <c r="A212" s="8" t="s">
        <v>24</v>
      </c>
      <c r="B212" s="4">
        <v>188315</v>
      </c>
      <c r="C212" s="12">
        <v>91982.940688271978</v>
      </c>
      <c r="D212" s="12">
        <v>7951.5623706448096</v>
      </c>
      <c r="E212" s="42">
        <v>8.6446055226614985E-2</v>
      </c>
      <c r="F212" s="7"/>
      <c r="G212" s="8" t="s">
        <v>24</v>
      </c>
      <c r="H212" s="4">
        <f>H172+H131+H90+H50</f>
        <v>214238</v>
      </c>
      <c r="I212" s="12">
        <f>I172+I131+I90+I50</f>
        <v>94851.024872483031</v>
      </c>
      <c r="J212" s="12">
        <f>J172+J131+J90+J50</f>
        <v>7855.2662912094756</v>
      </c>
      <c r="K212" s="42">
        <f>IF(I212=0,0,J212/I212)</f>
        <v>8.2816883652760034E-2</v>
      </c>
      <c r="L212" s="7"/>
      <c r="M212" s="8" t="s">
        <v>24</v>
      </c>
      <c r="N212" s="12">
        <f t="shared" ref="N212:O218" si="39">I212-C212</f>
        <v>2868.0841842110531</v>
      </c>
      <c r="O212" s="34">
        <f t="shared" si="39"/>
        <v>-96.296079435333922</v>
      </c>
    </row>
    <row r="213" spans="1:15">
      <c r="A213" s="8" t="s">
        <v>25</v>
      </c>
      <c r="B213" s="4">
        <v>43735</v>
      </c>
      <c r="C213" s="12">
        <v>21362.471980466638</v>
      </c>
      <c r="D213" s="12">
        <v>1921.4861373607791</v>
      </c>
      <c r="E213" s="42">
        <v>8.9946806676574814E-2</v>
      </c>
      <c r="F213" s="7"/>
      <c r="G213" s="8" t="s">
        <v>25</v>
      </c>
      <c r="H213" s="4">
        <f t="shared" ref="H213:J218" si="40">H173+H132+H91+H51</f>
        <v>42995</v>
      </c>
      <c r="I213" s="12">
        <f t="shared" si="40"/>
        <v>19035.464363896266</v>
      </c>
      <c r="J213" s="12">
        <f>J173+J132+J91+J51</f>
        <v>1615.5762535205154</v>
      </c>
      <c r="K213" s="42">
        <f t="shared" ref="K213:K218" si="41">IF(I213=0,0,J213/I213)</f>
        <v>8.4871911850215129E-2</v>
      </c>
      <c r="L213" s="7"/>
      <c r="M213" s="8" t="s">
        <v>25</v>
      </c>
      <c r="N213" s="12">
        <f t="shared" si="39"/>
        <v>-2327.0076165703722</v>
      </c>
      <c r="O213" s="34">
        <f t="shared" si="39"/>
        <v>-305.90988384026377</v>
      </c>
    </row>
    <row r="214" spans="1:15">
      <c r="A214" s="8" t="s">
        <v>27</v>
      </c>
      <c r="B214" s="4">
        <v>868160</v>
      </c>
      <c r="C214" s="12">
        <v>424054.95997626422</v>
      </c>
      <c r="D214" s="12">
        <v>36543.38633381846</v>
      </c>
      <c r="E214" s="42">
        <v>8.6176061555473651E-2</v>
      </c>
      <c r="F214" s="7"/>
      <c r="G214" s="8" t="s">
        <v>27</v>
      </c>
      <c r="H214" s="4">
        <f t="shared" si="40"/>
        <v>936360</v>
      </c>
      <c r="I214" s="12">
        <f t="shared" si="40"/>
        <v>414560.93526637764</v>
      </c>
      <c r="J214" s="12">
        <f>J174+J133+J92+J52</f>
        <v>33948.881290953599</v>
      </c>
      <c r="K214" s="42">
        <f t="shared" si="41"/>
        <v>8.1891173053099231E-2</v>
      </c>
      <c r="L214" s="7"/>
      <c r="M214" s="8" t="s">
        <v>27</v>
      </c>
      <c r="N214" s="12">
        <f t="shared" si="39"/>
        <v>-9494.0247098865802</v>
      </c>
      <c r="O214" s="34">
        <f t="shared" si="39"/>
        <v>-2594.505042864861</v>
      </c>
    </row>
    <row r="215" spans="1:15">
      <c r="A215" s="8" t="s">
        <v>32</v>
      </c>
      <c r="B215" s="4">
        <v>58595</v>
      </c>
      <c r="C215" s="12">
        <v>28620.8767736468</v>
      </c>
      <c r="D215" s="12">
        <v>2441.0745800243358</v>
      </c>
      <c r="E215" s="42">
        <v>8.5290000000000005E-2</v>
      </c>
      <c r="F215" s="7"/>
      <c r="G215" s="8" t="s">
        <v>32</v>
      </c>
      <c r="H215" s="4">
        <f t="shared" si="40"/>
        <v>19323</v>
      </c>
      <c r="I215" s="12">
        <f t="shared" si="40"/>
        <v>8555.0012304585998</v>
      </c>
      <c r="J215" s="12">
        <f t="shared" si="40"/>
        <v>695.77825007319791</v>
      </c>
      <c r="K215" s="42">
        <f t="shared" si="41"/>
        <v>8.133E-2</v>
      </c>
      <c r="L215" s="7"/>
      <c r="M215" s="8" t="s">
        <v>32</v>
      </c>
      <c r="N215" s="12">
        <f t="shared" si="39"/>
        <v>-20065.875543188202</v>
      </c>
      <c r="O215" s="34">
        <f t="shared" si="39"/>
        <v>-1745.296329951138</v>
      </c>
    </row>
    <row r="216" spans="1:15">
      <c r="A216" s="8" t="s">
        <v>28</v>
      </c>
      <c r="B216" s="4">
        <v>10513855</v>
      </c>
      <c r="C216" s="12">
        <v>5135519.2144549917</v>
      </c>
      <c r="D216" s="12">
        <v>439700.04873488145</v>
      </c>
      <c r="E216" s="42">
        <v>8.5619395113400373E-2</v>
      </c>
      <c r="F216" s="7"/>
      <c r="G216" s="8" t="s">
        <v>28</v>
      </c>
      <c r="H216" s="4">
        <f t="shared" si="40"/>
        <v>9649122</v>
      </c>
      <c r="I216" s="12">
        <f>I176+I135+I94+I54</f>
        <v>4272020.4203718444</v>
      </c>
      <c r="J216" s="12">
        <f>J176+J135+J94+J54</f>
        <v>350162.41865716066</v>
      </c>
      <c r="K216" s="42">
        <f t="shared" si="41"/>
        <v>8.1966466496122672E-2</v>
      </c>
      <c r="L216" s="7"/>
      <c r="M216" s="8" t="s">
        <v>28</v>
      </c>
      <c r="N216" s="12">
        <f t="shared" si="39"/>
        <v>-863498.79408314731</v>
      </c>
      <c r="O216" s="34">
        <f t="shared" si="39"/>
        <v>-89537.630077720794</v>
      </c>
    </row>
    <row r="217" spans="1:15">
      <c r="A217" s="8" t="s">
        <v>33</v>
      </c>
      <c r="B217" s="4">
        <v>0</v>
      </c>
      <c r="C217" s="12">
        <v>0</v>
      </c>
      <c r="D217" s="12">
        <v>0</v>
      </c>
      <c r="E217" s="42">
        <v>0</v>
      </c>
      <c r="F217" s="7"/>
      <c r="G217" s="8" t="s">
        <v>33</v>
      </c>
      <c r="H217" s="4">
        <f t="shared" si="40"/>
        <v>0</v>
      </c>
      <c r="I217" s="12">
        <f t="shared" si="40"/>
        <v>0</v>
      </c>
      <c r="J217" s="12">
        <f t="shared" si="40"/>
        <v>0</v>
      </c>
      <c r="K217" s="42">
        <f t="shared" si="41"/>
        <v>0</v>
      </c>
      <c r="L217" s="7"/>
      <c r="M217" s="8" t="s">
        <v>33</v>
      </c>
      <c r="N217" s="12">
        <f t="shared" si="39"/>
        <v>0</v>
      </c>
      <c r="O217" s="34">
        <f t="shared" si="39"/>
        <v>0</v>
      </c>
    </row>
    <row r="218" spans="1:15">
      <c r="A218" s="8" t="s">
        <v>29</v>
      </c>
      <c r="B218" s="37">
        <v>3064511</v>
      </c>
      <c r="C218" s="37">
        <v>1496868.1918676528</v>
      </c>
      <c r="D218" s="37">
        <v>122533.38915937858</v>
      </c>
      <c r="E218" s="42">
        <v>8.1859838979204194E-2</v>
      </c>
      <c r="F218" s="7"/>
      <c r="G218" s="8" t="s">
        <v>29</v>
      </c>
      <c r="H218" s="37">
        <f t="shared" si="40"/>
        <v>2761604</v>
      </c>
      <c r="I218" s="37">
        <f>I178+I137+I96+I56</f>
        <v>1222663.438288019</v>
      </c>
      <c r="J218" s="37">
        <f>J178+J137+J96+J56</f>
        <v>97731.285275502785</v>
      </c>
      <c r="K218" s="42">
        <f t="shared" si="41"/>
        <v>7.9933105231597287E-2</v>
      </c>
      <c r="L218" s="7"/>
      <c r="M218" s="8" t="s">
        <v>29</v>
      </c>
      <c r="N218" s="37">
        <f t="shared" si="39"/>
        <v>-274204.75357963378</v>
      </c>
      <c r="O218" s="38">
        <f t="shared" si="39"/>
        <v>-24802.103883875796</v>
      </c>
    </row>
    <row r="219" spans="1:15">
      <c r="A219" s="8"/>
      <c r="B219" s="12"/>
      <c r="C219" s="12"/>
      <c r="D219" s="12"/>
      <c r="E219" s="6"/>
      <c r="F219" s="7"/>
      <c r="G219" s="8"/>
      <c r="H219" s="12"/>
      <c r="I219" s="12"/>
      <c r="J219" s="12"/>
      <c r="K219" s="6"/>
      <c r="L219" s="7"/>
      <c r="M219" s="8"/>
      <c r="N219" s="12"/>
      <c r="O219" s="34"/>
    </row>
    <row r="220" spans="1:15">
      <c r="A220" s="8" t="s">
        <v>22</v>
      </c>
      <c r="B220" s="12">
        <v>14737171</v>
      </c>
      <c r="C220" s="12">
        <v>7198408.6557412948</v>
      </c>
      <c r="D220" s="12">
        <v>611090.94731610839</v>
      </c>
      <c r="E220" s="6"/>
      <c r="F220" s="7"/>
      <c r="G220" s="8" t="s">
        <v>22</v>
      </c>
      <c r="H220" s="12">
        <f>SUM(H212:H219)</f>
        <v>13623642</v>
      </c>
      <c r="I220" s="12">
        <f>SUM(I212:I219)</f>
        <v>6031686.2843930786</v>
      </c>
      <c r="J220" s="12">
        <f>SUM(J212:J219)</f>
        <v>492009.20601842023</v>
      </c>
      <c r="K220" s="6"/>
      <c r="L220" s="7"/>
      <c r="M220" s="8" t="s">
        <v>22</v>
      </c>
      <c r="N220" s="12">
        <f>SUM(N212:N219)</f>
        <v>-1166722.3713482153</v>
      </c>
      <c r="O220" s="34">
        <f>SUM(O212:O219)</f>
        <v>-119081.74129768819</v>
      </c>
    </row>
    <row r="221" spans="1:15">
      <c r="A221" s="8"/>
      <c r="B221" s="12"/>
      <c r="C221" s="12"/>
      <c r="D221" s="12"/>
      <c r="E221" s="6"/>
      <c r="F221" s="7"/>
      <c r="G221" s="8"/>
      <c r="H221" s="12"/>
      <c r="I221" s="12"/>
      <c r="J221" s="12"/>
      <c r="K221" s="6"/>
      <c r="L221" s="7"/>
      <c r="M221" s="8"/>
      <c r="N221" s="12"/>
      <c r="O221" s="34"/>
    </row>
    <row r="222" spans="1:15">
      <c r="A222" s="43" t="s">
        <v>41</v>
      </c>
      <c r="B222" s="16">
        <v>261128428</v>
      </c>
      <c r="C222" s="16">
        <v>127548844.78</v>
      </c>
      <c r="D222" s="16">
        <v>15498794.683761571</v>
      </c>
      <c r="E222" s="44"/>
      <c r="F222" s="45"/>
      <c r="G222" s="43" t="s">
        <v>41</v>
      </c>
      <c r="H222" s="16">
        <f>H220+H208+H195</f>
        <v>309283823</v>
      </c>
      <c r="I222" s="16">
        <f>I220+I208+I195</f>
        <v>136931298.78</v>
      </c>
      <c r="J222" s="16">
        <f>J220+J208+J195</f>
        <v>15963805.148002787</v>
      </c>
      <c r="K222" s="44"/>
      <c r="L222" s="45"/>
      <c r="M222" s="43" t="s">
        <v>41</v>
      </c>
      <c r="N222" s="16">
        <f>N220+N208+N195</f>
        <v>9382454.0000000075</v>
      </c>
      <c r="O222" s="46">
        <f>O220+O208+O195</f>
        <v>465010.46424121578</v>
      </c>
    </row>
    <row r="224" spans="1:15">
      <c r="A224" s="51"/>
    </row>
  </sheetData>
  <mergeCells count="22">
    <mergeCell ref="A184:E184"/>
    <mergeCell ref="G184:K184"/>
    <mergeCell ref="M184:O184"/>
    <mergeCell ref="A103:E103"/>
    <mergeCell ref="G103:K103"/>
    <mergeCell ref="M103:O103"/>
    <mergeCell ref="A144:E144"/>
    <mergeCell ref="G144:K144"/>
    <mergeCell ref="M144:O144"/>
    <mergeCell ref="A21:E21"/>
    <mergeCell ref="G21:K21"/>
    <mergeCell ref="M21:O21"/>
    <mergeCell ref="A62:E62"/>
    <mergeCell ref="G62:K62"/>
    <mergeCell ref="M62:O62"/>
    <mergeCell ref="A3:O3"/>
    <mergeCell ref="A4:O4"/>
    <mergeCell ref="A6:E6"/>
    <mergeCell ref="G6:K6"/>
    <mergeCell ref="A7:E7"/>
    <mergeCell ref="G7:K7"/>
    <mergeCell ref="M7:O7"/>
  </mergeCells>
  <printOptions horizontalCentered="1"/>
  <pageMargins left="0.75" right="0.75" top="0.53" bottom="0.7" header="0.5" footer="0.4"/>
  <pageSetup scale="76" fitToWidth="2" fitToHeight="6" orientation="landscape" r:id="rId1"/>
  <headerFooter alignWithMargins="0">
    <oddFooter>&amp;L&amp;D &amp;T
Prepared By Danette Sauer&amp;R&amp;F&amp;A</oddFooter>
  </headerFooter>
  <rowBreaks count="3" manualBreakCount="3">
    <brk id="102" max="16383" man="1"/>
    <brk id="143" max="16383" man="1"/>
    <brk id="18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A353"/>
  <sheetViews>
    <sheetView zoomScaleNormal="10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T18" sqref="T18"/>
    </sheetView>
  </sheetViews>
  <sheetFormatPr defaultRowHeight="15"/>
  <cols>
    <col min="1" max="1" width="19.140625" customWidth="1"/>
    <col min="2" max="2" width="12.140625" bestFit="1" customWidth="1"/>
    <col min="3" max="3" width="15.5703125" bestFit="1" customWidth="1"/>
    <col min="4" max="4" width="15.140625" customWidth="1"/>
    <col min="5" max="5" width="16" customWidth="1"/>
    <col min="6" max="6" width="15.5703125" customWidth="1"/>
    <col min="7" max="7" width="15.42578125" customWidth="1"/>
    <col min="8" max="8" width="18.5703125" customWidth="1"/>
    <col min="9" max="9" width="16.42578125" customWidth="1"/>
    <col min="10" max="10" width="15.140625" style="57" customWidth="1"/>
    <col min="11" max="11" width="15.5703125" customWidth="1"/>
    <col min="12" max="12" width="17.42578125" customWidth="1"/>
    <col min="13" max="14" width="15.42578125" customWidth="1"/>
    <col min="16" max="16" width="20.28515625" customWidth="1"/>
    <col min="17" max="17" width="6.42578125" customWidth="1"/>
    <col min="18" max="19" width="15.5703125" bestFit="1" customWidth="1"/>
    <col min="20" max="20" width="15.5703125" customWidth="1"/>
    <col min="21" max="21" width="17.5703125" customWidth="1"/>
    <col min="22" max="22" width="16.28515625" bestFit="1" customWidth="1"/>
    <col min="25" max="25" width="9.28515625" bestFit="1" customWidth="1"/>
    <col min="257" max="257" width="19.140625" customWidth="1"/>
    <col min="258" max="258" width="12.140625" bestFit="1" customWidth="1"/>
    <col min="259" max="259" width="15.5703125" bestFit="1" customWidth="1"/>
    <col min="260" max="260" width="15.140625" customWidth="1"/>
    <col min="261" max="261" width="16" customWidth="1"/>
    <col min="262" max="262" width="15.5703125" customWidth="1"/>
    <col min="263" max="263" width="15.42578125" customWidth="1"/>
    <col min="264" max="264" width="18.5703125" customWidth="1"/>
    <col min="265" max="265" width="16.42578125" customWidth="1"/>
    <col min="266" max="266" width="15.140625" customWidth="1"/>
    <col min="267" max="267" width="15.5703125" customWidth="1"/>
    <col min="268" max="268" width="17.42578125" customWidth="1"/>
    <col min="269" max="270" width="15.42578125" customWidth="1"/>
    <col min="272" max="272" width="20.28515625" customWidth="1"/>
    <col min="273" max="273" width="6.42578125" customWidth="1"/>
    <col min="274" max="275" width="15.5703125" bestFit="1" customWidth="1"/>
    <col min="276" max="276" width="15.5703125" customWidth="1"/>
    <col min="277" max="277" width="17.5703125" customWidth="1"/>
    <col min="278" max="278" width="16.28515625" bestFit="1" customWidth="1"/>
    <col min="281" max="281" width="9.28515625" bestFit="1" customWidth="1"/>
    <col min="513" max="513" width="19.140625" customWidth="1"/>
    <col min="514" max="514" width="12.140625" bestFit="1" customWidth="1"/>
    <col min="515" max="515" width="15.5703125" bestFit="1" customWidth="1"/>
    <col min="516" max="516" width="15.140625" customWidth="1"/>
    <col min="517" max="517" width="16" customWidth="1"/>
    <col min="518" max="518" width="15.5703125" customWidth="1"/>
    <col min="519" max="519" width="15.42578125" customWidth="1"/>
    <col min="520" max="520" width="18.5703125" customWidth="1"/>
    <col min="521" max="521" width="16.42578125" customWidth="1"/>
    <col min="522" max="522" width="15.140625" customWidth="1"/>
    <col min="523" max="523" width="15.5703125" customWidth="1"/>
    <col min="524" max="524" width="17.42578125" customWidth="1"/>
    <col min="525" max="526" width="15.42578125" customWidth="1"/>
    <col min="528" max="528" width="20.28515625" customWidth="1"/>
    <col min="529" max="529" width="6.42578125" customWidth="1"/>
    <col min="530" max="531" width="15.5703125" bestFit="1" customWidth="1"/>
    <col min="532" max="532" width="15.5703125" customWidth="1"/>
    <col min="533" max="533" width="17.5703125" customWidth="1"/>
    <col min="534" max="534" width="16.28515625" bestFit="1" customWidth="1"/>
    <col min="537" max="537" width="9.28515625" bestFit="1" customWidth="1"/>
    <col min="769" max="769" width="19.140625" customWidth="1"/>
    <col min="770" max="770" width="12.140625" bestFit="1" customWidth="1"/>
    <col min="771" max="771" width="15.5703125" bestFit="1" customWidth="1"/>
    <col min="772" max="772" width="15.140625" customWidth="1"/>
    <col min="773" max="773" width="16" customWidth="1"/>
    <col min="774" max="774" width="15.5703125" customWidth="1"/>
    <col min="775" max="775" width="15.42578125" customWidth="1"/>
    <col min="776" max="776" width="18.5703125" customWidth="1"/>
    <col min="777" max="777" width="16.42578125" customWidth="1"/>
    <col min="778" max="778" width="15.140625" customWidth="1"/>
    <col min="779" max="779" width="15.5703125" customWidth="1"/>
    <col min="780" max="780" width="17.42578125" customWidth="1"/>
    <col min="781" max="782" width="15.42578125" customWidth="1"/>
    <col min="784" max="784" width="20.28515625" customWidth="1"/>
    <col min="785" max="785" width="6.42578125" customWidth="1"/>
    <col min="786" max="787" width="15.5703125" bestFit="1" customWidth="1"/>
    <col min="788" max="788" width="15.5703125" customWidth="1"/>
    <col min="789" max="789" width="17.5703125" customWidth="1"/>
    <col min="790" max="790" width="16.28515625" bestFit="1" customWidth="1"/>
    <col min="793" max="793" width="9.28515625" bestFit="1" customWidth="1"/>
    <col min="1025" max="1025" width="19.140625" customWidth="1"/>
    <col min="1026" max="1026" width="12.140625" bestFit="1" customWidth="1"/>
    <col min="1027" max="1027" width="15.5703125" bestFit="1" customWidth="1"/>
    <col min="1028" max="1028" width="15.140625" customWidth="1"/>
    <col min="1029" max="1029" width="16" customWidth="1"/>
    <col min="1030" max="1030" width="15.5703125" customWidth="1"/>
    <col min="1031" max="1031" width="15.42578125" customWidth="1"/>
    <col min="1032" max="1032" width="18.5703125" customWidth="1"/>
    <col min="1033" max="1033" width="16.42578125" customWidth="1"/>
    <col min="1034" max="1034" width="15.140625" customWidth="1"/>
    <col min="1035" max="1035" width="15.5703125" customWidth="1"/>
    <col min="1036" max="1036" width="17.42578125" customWidth="1"/>
    <col min="1037" max="1038" width="15.42578125" customWidth="1"/>
    <col min="1040" max="1040" width="20.28515625" customWidth="1"/>
    <col min="1041" max="1041" width="6.42578125" customWidth="1"/>
    <col min="1042" max="1043" width="15.5703125" bestFit="1" customWidth="1"/>
    <col min="1044" max="1044" width="15.5703125" customWidth="1"/>
    <col min="1045" max="1045" width="17.5703125" customWidth="1"/>
    <col min="1046" max="1046" width="16.28515625" bestFit="1" customWidth="1"/>
    <col min="1049" max="1049" width="9.28515625" bestFit="1" customWidth="1"/>
    <col min="1281" max="1281" width="19.140625" customWidth="1"/>
    <col min="1282" max="1282" width="12.140625" bestFit="1" customWidth="1"/>
    <col min="1283" max="1283" width="15.5703125" bestFit="1" customWidth="1"/>
    <col min="1284" max="1284" width="15.140625" customWidth="1"/>
    <col min="1285" max="1285" width="16" customWidth="1"/>
    <col min="1286" max="1286" width="15.5703125" customWidth="1"/>
    <col min="1287" max="1287" width="15.42578125" customWidth="1"/>
    <col min="1288" max="1288" width="18.5703125" customWidth="1"/>
    <col min="1289" max="1289" width="16.42578125" customWidth="1"/>
    <col min="1290" max="1290" width="15.140625" customWidth="1"/>
    <col min="1291" max="1291" width="15.5703125" customWidth="1"/>
    <col min="1292" max="1292" width="17.42578125" customWidth="1"/>
    <col min="1293" max="1294" width="15.42578125" customWidth="1"/>
    <col min="1296" max="1296" width="20.28515625" customWidth="1"/>
    <col min="1297" max="1297" width="6.42578125" customWidth="1"/>
    <col min="1298" max="1299" width="15.5703125" bestFit="1" customWidth="1"/>
    <col min="1300" max="1300" width="15.5703125" customWidth="1"/>
    <col min="1301" max="1301" width="17.5703125" customWidth="1"/>
    <col min="1302" max="1302" width="16.28515625" bestFit="1" customWidth="1"/>
    <col min="1305" max="1305" width="9.28515625" bestFit="1" customWidth="1"/>
    <col min="1537" max="1537" width="19.140625" customWidth="1"/>
    <col min="1538" max="1538" width="12.140625" bestFit="1" customWidth="1"/>
    <col min="1539" max="1539" width="15.5703125" bestFit="1" customWidth="1"/>
    <col min="1540" max="1540" width="15.140625" customWidth="1"/>
    <col min="1541" max="1541" width="16" customWidth="1"/>
    <col min="1542" max="1542" width="15.5703125" customWidth="1"/>
    <col min="1543" max="1543" width="15.42578125" customWidth="1"/>
    <col min="1544" max="1544" width="18.5703125" customWidth="1"/>
    <col min="1545" max="1545" width="16.42578125" customWidth="1"/>
    <col min="1546" max="1546" width="15.140625" customWidth="1"/>
    <col min="1547" max="1547" width="15.5703125" customWidth="1"/>
    <col min="1548" max="1548" width="17.42578125" customWidth="1"/>
    <col min="1549" max="1550" width="15.42578125" customWidth="1"/>
    <col min="1552" max="1552" width="20.28515625" customWidth="1"/>
    <col min="1553" max="1553" width="6.42578125" customWidth="1"/>
    <col min="1554" max="1555" width="15.5703125" bestFit="1" customWidth="1"/>
    <col min="1556" max="1556" width="15.5703125" customWidth="1"/>
    <col min="1557" max="1557" width="17.5703125" customWidth="1"/>
    <col min="1558" max="1558" width="16.28515625" bestFit="1" customWidth="1"/>
    <col min="1561" max="1561" width="9.28515625" bestFit="1" customWidth="1"/>
    <col min="1793" max="1793" width="19.140625" customWidth="1"/>
    <col min="1794" max="1794" width="12.140625" bestFit="1" customWidth="1"/>
    <col min="1795" max="1795" width="15.5703125" bestFit="1" customWidth="1"/>
    <col min="1796" max="1796" width="15.140625" customWidth="1"/>
    <col min="1797" max="1797" width="16" customWidth="1"/>
    <col min="1798" max="1798" width="15.5703125" customWidth="1"/>
    <col min="1799" max="1799" width="15.42578125" customWidth="1"/>
    <col min="1800" max="1800" width="18.5703125" customWidth="1"/>
    <col min="1801" max="1801" width="16.42578125" customWidth="1"/>
    <col min="1802" max="1802" width="15.140625" customWidth="1"/>
    <col min="1803" max="1803" width="15.5703125" customWidth="1"/>
    <col min="1804" max="1804" width="17.42578125" customWidth="1"/>
    <col min="1805" max="1806" width="15.42578125" customWidth="1"/>
    <col min="1808" max="1808" width="20.28515625" customWidth="1"/>
    <col min="1809" max="1809" width="6.42578125" customWidth="1"/>
    <col min="1810" max="1811" width="15.5703125" bestFit="1" customWidth="1"/>
    <col min="1812" max="1812" width="15.5703125" customWidth="1"/>
    <col min="1813" max="1813" width="17.5703125" customWidth="1"/>
    <col min="1814" max="1814" width="16.28515625" bestFit="1" customWidth="1"/>
    <col min="1817" max="1817" width="9.28515625" bestFit="1" customWidth="1"/>
    <col min="2049" max="2049" width="19.140625" customWidth="1"/>
    <col min="2050" max="2050" width="12.140625" bestFit="1" customWidth="1"/>
    <col min="2051" max="2051" width="15.5703125" bestFit="1" customWidth="1"/>
    <col min="2052" max="2052" width="15.140625" customWidth="1"/>
    <col min="2053" max="2053" width="16" customWidth="1"/>
    <col min="2054" max="2054" width="15.5703125" customWidth="1"/>
    <col min="2055" max="2055" width="15.42578125" customWidth="1"/>
    <col min="2056" max="2056" width="18.5703125" customWidth="1"/>
    <col min="2057" max="2057" width="16.42578125" customWidth="1"/>
    <col min="2058" max="2058" width="15.140625" customWidth="1"/>
    <col min="2059" max="2059" width="15.5703125" customWidth="1"/>
    <col min="2060" max="2060" width="17.42578125" customWidth="1"/>
    <col min="2061" max="2062" width="15.42578125" customWidth="1"/>
    <col min="2064" max="2064" width="20.28515625" customWidth="1"/>
    <col min="2065" max="2065" width="6.42578125" customWidth="1"/>
    <col min="2066" max="2067" width="15.5703125" bestFit="1" customWidth="1"/>
    <col min="2068" max="2068" width="15.5703125" customWidth="1"/>
    <col min="2069" max="2069" width="17.5703125" customWidth="1"/>
    <col min="2070" max="2070" width="16.28515625" bestFit="1" customWidth="1"/>
    <col min="2073" max="2073" width="9.28515625" bestFit="1" customWidth="1"/>
    <col min="2305" max="2305" width="19.140625" customWidth="1"/>
    <col min="2306" max="2306" width="12.140625" bestFit="1" customWidth="1"/>
    <col min="2307" max="2307" width="15.5703125" bestFit="1" customWidth="1"/>
    <col min="2308" max="2308" width="15.140625" customWidth="1"/>
    <col min="2309" max="2309" width="16" customWidth="1"/>
    <col min="2310" max="2310" width="15.5703125" customWidth="1"/>
    <col min="2311" max="2311" width="15.42578125" customWidth="1"/>
    <col min="2312" max="2312" width="18.5703125" customWidth="1"/>
    <col min="2313" max="2313" width="16.42578125" customWidth="1"/>
    <col min="2314" max="2314" width="15.140625" customWidth="1"/>
    <col min="2315" max="2315" width="15.5703125" customWidth="1"/>
    <col min="2316" max="2316" width="17.42578125" customWidth="1"/>
    <col min="2317" max="2318" width="15.42578125" customWidth="1"/>
    <col min="2320" max="2320" width="20.28515625" customWidth="1"/>
    <col min="2321" max="2321" width="6.42578125" customWidth="1"/>
    <col min="2322" max="2323" width="15.5703125" bestFit="1" customWidth="1"/>
    <col min="2324" max="2324" width="15.5703125" customWidth="1"/>
    <col min="2325" max="2325" width="17.5703125" customWidth="1"/>
    <col min="2326" max="2326" width="16.28515625" bestFit="1" customWidth="1"/>
    <col min="2329" max="2329" width="9.28515625" bestFit="1" customWidth="1"/>
    <col min="2561" max="2561" width="19.140625" customWidth="1"/>
    <col min="2562" max="2562" width="12.140625" bestFit="1" customWidth="1"/>
    <col min="2563" max="2563" width="15.5703125" bestFit="1" customWidth="1"/>
    <col min="2564" max="2564" width="15.140625" customWidth="1"/>
    <col min="2565" max="2565" width="16" customWidth="1"/>
    <col min="2566" max="2566" width="15.5703125" customWidth="1"/>
    <col min="2567" max="2567" width="15.42578125" customWidth="1"/>
    <col min="2568" max="2568" width="18.5703125" customWidth="1"/>
    <col min="2569" max="2569" width="16.42578125" customWidth="1"/>
    <col min="2570" max="2570" width="15.140625" customWidth="1"/>
    <col min="2571" max="2571" width="15.5703125" customWidth="1"/>
    <col min="2572" max="2572" width="17.42578125" customWidth="1"/>
    <col min="2573" max="2574" width="15.42578125" customWidth="1"/>
    <col min="2576" max="2576" width="20.28515625" customWidth="1"/>
    <col min="2577" max="2577" width="6.42578125" customWidth="1"/>
    <col min="2578" max="2579" width="15.5703125" bestFit="1" customWidth="1"/>
    <col min="2580" max="2580" width="15.5703125" customWidth="1"/>
    <col min="2581" max="2581" width="17.5703125" customWidth="1"/>
    <col min="2582" max="2582" width="16.28515625" bestFit="1" customWidth="1"/>
    <col min="2585" max="2585" width="9.28515625" bestFit="1" customWidth="1"/>
    <col min="2817" max="2817" width="19.140625" customWidth="1"/>
    <col min="2818" max="2818" width="12.140625" bestFit="1" customWidth="1"/>
    <col min="2819" max="2819" width="15.5703125" bestFit="1" customWidth="1"/>
    <col min="2820" max="2820" width="15.140625" customWidth="1"/>
    <col min="2821" max="2821" width="16" customWidth="1"/>
    <col min="2822" max="2822" width="15.5703125" customWidth="1"/>
    <col min="2823" max="2823" width="15.42578125" customWidth="1"/>
    <col min="2824" max="2824" width="18.5703125" customWidth="1"/>
    <col min="2825" max="2825" width="16.42578125" customWidth="1"/>
    <col min="2826" max="2826" width="15.140625" customWidth="1"/>
    <col min="2827" max="2827" width="15.5703125" customWidth="1"/>
    <col min="2828" max="2828" width="17.42578125" customWidth="1"/>
    <col min="2829" max="2830" width="15.42578125" customWidth="1"/>
    <col min="2832" max="2832" width="20.28515625" customWidth="1"/>
    <col min="2833" max="2833" width="6.42578125" customWidth="1"/>
    <col min="2834" max="2835" width="15.5703125" bestFit="1" customWidth="1"/>
    <col min="2836" max="2836" width="15.5703125" customWidth="1"/>
    <col min="2837" max="2837" width="17.5703125" customWidth="1"/>
    <col min="2838" max="2838" width="16.28515625" bestFit="1" customWidth="1"/>
    <col min="2841" max="2841" width="9.28515625" bestFit="1" customWidth="1"/>
    <col min="3073" max="3073" width="19.140625" customWidth="1"/>
    <col min="3074" max="3074" width="12.140625" bestFit="1" customWidth="1"/>
    <col min="3075" max="3075" width="15.5703125" bestFit="1" customWidth="1"/>
    <col min="3076" max="3076" width="15.140625" customWidth="1"/>
    <col min="3077" max="3077" width="16" customWidth="1"/>
    <col min="3078" max="3078" width="15.5703125" customWidth="1"/>
    <col min="3079" max="3079" width="15.42578125" customWidth="1"/>
    <col min="3080" max="3080" width="18.5703125" customWidth="1"/>
    <col min="3081" max="3081" width="16.42578125" customWidth="1"/>
    <col min="3082" max="3082" width="15.140625" customWidth="1"/>
    <col min="3083" max="3083" width="15.5703125" customWidth="1"/>
    <col min="3084" max="3084" width="17.42578125" customWidth="1"/>
    <col min="3085" max="3086" width="15.42578125" customWidth="1"/>
    <col min="3088" max="3088" width="20.28515625" customWidth="1"/>
    <col min="3089" max="3089" width="6.42578125" customWidth="1"/>
    <col min="3090" max="3091" width="15.5703125" bestFit="1" customWidth="1"/>
    <col min="3092" max="3092" width="15.5703125" customWidth="1"/>
    <col min="3093" max="3093" width="17.5703125" customWidth="1"/>
    <col min="3094" max="3094" width="16.28515625" bestFit="1" customWidth="1"/>
    <col min="3097" max="3097" width="9.28515625" bestFit="1" customWidth="1"/>
    <col min="3329" max="3329" width="19.140625" customWidth="1"/>
    <col min="3330" max="3330" width="12.140625" bestFit="1" customWidth="1"/>
    <col min="3331" max="3331" width="15.5703125" bestFit="1" customWidth="1"/>
    <col min="3332" max="3332" width="15.140625" customWidth="1"/>
    <col min="3333" max="3333" width="16" customWidth="1"/>
    <col min="3334" max="3334" width="15.5703125" customWidth="1"/>
    <col min="3335" max="3335" width="15.42578125" customWidth="1"/>
    <col min="3336" max="3336" width="18.5703125" customWidth="1"/>
    <col min="3337" max="3337" width="16.42578125" customWidth="1"/>
    <col min="3338" max="3338" width="15.140625" customWidth="1"/>
    <col min="3339" max="3339" width="15.5703125" customWidth="1"/>
    <col min="3340" max="3340" width="17.42578125" customWidth="1"/>
    <col min="3341" max="3342" width="15.42578125" customWidth="1"/>
    <col min="3344" max="3344" width="20.28515625" customWidth="1"/>
    <col min="3345" max="3345" width="6.42578125" customWidth="1"/>
    <col min="3346" max="3347" width="15.5703125" bestFit="1" customWidth="1"/>
    <col min="3348" max="3348" width="15.5703125" customWidth="1"/>
    <col min="3349" max="3349" width="17.5703125" customWidth="1"/>
    <col min="3350" max="3350" width="16.28515625" bestFit="1" customWidth="1"/>
    <col min="3353" max="3353" width="9.28515625" bestFit="1" customWidth="1"/>
    <col min="3585" max="3585" width="19.140625" customWidth="1"/>
    <col min="3586" max="3586" width="12.140625" bestFit="1" customWidth="1"/>
    <col min="3587" max="3587" width="15.5703125" bestFit="1" customWidth="1"/>
    <col min="3588" max="3588" width="15.140625" customWidth="1"/>
    <col min="3589" max="3589" width="16" customWidth="1"/>
    <col min="3590" max="3590" width="15.5703125" customWidth="1"/>
    <col min="3591" max="3591" width="15.42578125" customWidth="1"/>
    <col min="3592" max="3592" width="18.5703125" customWidth="1"/>
    <col min="3593" max="3593" width="16.42578125" customWidth="1"/>
    <col min="3594" max="3594" width="15.140625" customWidth="1"/>
    <col min="3595" max="3595" width="15.5703125" customWidth="1"/>
    <col min="3596" max="3596" width="17.42578125" customWidth="1"/>
    <col min="3597" max="3598" width="15.42578125" customWidth="1"/>
    <col min="3600" max="3600" width="20.28515625" customWidth="1"/>
    <col min="3601" max="3601" width="6.42578125" customWidth="1"/>
    <col min="3602" max="3603" width="15.5703125" bestFit="1" customWidth="1"/>
    <col min="3604" max="3604" width="15.5703125" customWidth="1"/>
    <col min="3605" max="3605" width="17.5703125" customWidth="1"/>
    <col min="3606" max="3606" width="16.28515625" bestFit="1" customWidth="1"/>
    <col min="3609" max="3609" width="9.28515625" bestFit="1" customWidth="1"/>
    <col min="3841" max="3841" width="19.140625" customWidth="1"/>
    <col min="3842" max="3842" width="12.140625" bestFit="1" customWidth="1"/>
    <col min="3843" max="3843" width="15.5703125" bestFit="1" customWidth="1"/>
    <col min="3844" max="3844" width="15.140625" customWidth="1"/>
    <col min="3845" max="3845" width="16" customWidth="1"/>
    <col min="3846" max="3846" width="15.5703125" customWidth="1"/>
    <col min="3847" max="3847" width="15.42578125" customWidth="1"/>
    <col min="3848" max="3848" width="18.5703125" customWidth="1"/>
    <col min="3849" max="3849" width="16.42578125" customWidth="1"/>
    <col min="3850" max="3850" width="15.140625" customWidth="1"/>
    <col min="3851" max="3851" width="15.5703125" customWidth="1"/>
    <col min="3852" max="3852" width="17.42578125" customWidth="1"/>
    <col min="3853" max="3854" width="15.42578125" customWidth="1"/>
    <col min="3856" max="3856" width="20.28515625" customWidth="1"/>
    <col min="3857" max="3857" width="6.42578125" customWidth="1"/>
    <col min="3858" max="3859" width="15.5703125" bestFit="1" customWidth="1"/>
    <col min="3860" max="3860" width="15.5703125" customWidth="1"/>
    <col min="3861" max="3861" width="17.5703125" customWidth="1"/>
    <col min="3862" max="3862" width="16.28515625" bestFit="1" customWidth="1"/>
    <col min="3865" max="3865" width="9.28515625" bestFit="1" customWidth="1"/>
    <col min="4097" max="4097" width="19.140625" customWidth="1"/>
    <col min="4098" max="4098" width="12.140625" bestFit="1" customWidth="1"/>
    <col min="4099" max="4099" width="15.5703125" bestFit="1" customWidth="1"/>
    <col min="4100" max="4100" width="15.140625" customWidth="1"/>
    <col min="4101" max="4101" width="16" customWidth="1"/>
    <col min="4102" max="4102" width="15.5703125" customWidth="1"/>
    <col min="4103" max="4103" width="15.42578125" customWidth="1"/>
    <col min="4104" max="4104" width="18.5703125" customWidth="1"/>
    <col min="4105" max="4105" width="16.42578125" customWidth="1"/>
    <col min="4106" max="4106" width="15.140625" customWidth="1"/>
    <col min="4107" max="4107" width="15.5703125" customWidth="1"/>
    <col min="4108" max="4108" width="17.42578125" customWidth="1"/>
    <col min="4109" max="4110" width="15.42578125" customWidth="1"/>
    <col min="4112" max="4112" width="20.28515625" customWidth="1"/>
    <col min="4113" max="4113" width="6.42578125" customWidth="1"/>
    <col min="4114" max="4115" width="15.5703125" bestFit="1" customWidth="1"/>
    <col min="4116" max="4116" width="15.5703125" customWidth="1"/>
    <col min="4117" max="4117" width="17.5703125" customWidth="1"/>
    <col min="4118" max="4118" width="16.28515625" bestFit="1" customWidth="1"/>
    <col min="4121" max="4121" width="9.28515625" bestFit="1" customWidth="1"/>
    <col min="4353" max="4353" width="19.140625" customWidth="1"/>
    <col min="4354" max="4354" width="12.140625" bestFit="1" customWidth="1"/>
    <col min="4355" max="4355" width="15.5703125" bestFit="1" customWidth="1"/>
    <col min="4356" max="4356" width="15.140625" customWidth="1"/>
    <col min="4357" max="4357" width="16" customWidth="1"/>
    <col min="4358" max="4358" width="15.5703125" customWidth="1"/>
    <col min="4359" max="4359" width="15.42578125" customWidth="1"/>
    <col min="4360" max="4360" width="18.5703125" customWidth="1"/>
    <col min="4361" max="4361" width="16.42578125" customWidth="1"/>
    <col min="4362" max="4362" width="15.140625" customWidth="1"/>
    <col min="4363" max="4363" width="15.5703125" customWidth="1"/>
    <col min="4364" max="4364" width="17.42578125" customWidth="1"/>
    <col min="4365" max="4366" width="15.42578125" customWidth="1"/>
    <col min="4368" max="4368" width="20.28515625" customWidth="1"/>
    <col min="4369" max="4369" width="6.42578125" customWidth="1"/>
    <col min="4370" max="4371" width="15.5703125" bestFit="1" customWidth="1"/>
    <col min="4372" max="4372" width="15.5703125" customWidth="1"/>
    <col min="4373" max="4373" width="17.5703125" customWidth="1"/>
    <col min="4374" max="4374" width="16.28515625" bestFit="1" customWidth="1"/>
    <col min="4377" max="4377" width="9.28515625" bestFit="1" customWidth="1"/>
    <col min="4609" max="4609" width="19.140625" customWidth="1"/>
    <col min="4610" max="4610" width="12.140625" bestFit="1" customWidth="1"/>
    <col min="4611" max="4611" width="15.5703125" bestFit="1" customWidth="1"/>
    <col min="4612" max="4612" width="15.140625" customWidth="1"/>
    <col min="4613" max="4613" width="16" customWidth="1"/>
    <col min="4614" max="4614" width="15.5703125" customWidth="1"/>
    <col min="4615" max="4615" width="15.42578125" customWidth="1"/>
    <col min="4616" max="4616" width="18.5703125" customWidth="1"/>
    <col min="4617" max="4617" width="16.42578125" customWidth="1"/>
    <col min="4618" max="4618" width="15.140625" customWidth="1"/>
    <col min="4619" max="4619" width="15.5703125" customWidth="1"/>
    <col min="4620" max="4620" width="17.42578125" customWidth="1"/>
    <col min="4621" max="4622" width="15.42578125" customWidth="1"/>
    <col min="4624" max="4624" width="20.28515625" customWidth="1"/>
    <col min="4625" max="4625" width="6.42578125" customWidth="1"/>
    <col min="4626" max="4627" width="15.5703125" bestFit="1" customWidth="1"/>
    <col min="4628" max="4628" width="15.5703125" customWidth="1"/>
    <col min="4629" max="4629" width="17.5703125" customWidth="1"/>
    <col min="4630" max="4630" width="16.28515625" bestFit="1" customWidth="1"/>
    <col min="4633" max="4633" width="9.28515625" bestFit="1" customWidth="1"/>
    <col min="4865" max="4865" width="19.140625" customWidth="1"/>
    <col min="4866" max="4866" width="12.140625" bestFit="1" customWidth="1"/>
    <col min="4867" max="4867" width="15.5703125" bestFit="1" customWidth="1"/>
    <col min="4868" max="4868" width="15.140625" customWidth="1"/>
    <col min="4869" max="4869" width="16" customWidth="1"/>
    <col min="4870" max="4870" width="15.5703125" customWidth="1"/>
    <col min="4871" max="4871" width="15.42578125" customWidth="1"/>
    <col min="4872" max="4872" width="18.5703125" customWidth="1"/>
    <col min="4873" max="4873" width="16.42578125" customWidth="1"/>
    <col min="4874" max="4874" width="15.140625" customWidth="1"/>
    <col min="4875" max="4875" width="15.5703125" customWidth="1"/>
    <col min="4876" max="4876" width="17.42578125" customWidth="1"/>
    <col min="4877" max="4878" width="15.42578125" customWidth="1"/>
    <col min="4880" max="4880" width="20.28515625" customWidth="1"/>
    <col min="4881" max="4881" width="6.42578125" customWidth="1"/>
    <col min="4882" max="4883" width="15.5703125" bestFit="1" customWidth="1"/>
    <col min="4884" max="4884" width="15.5703125" customWidth="1"/>
    <col min="4885" max="4885" width="17.5703125" customWidth="1"/>
    <col min="4886" max="4886" width="16.28515625" bestFit="1" customWidth="1"/>
    <col min="4889" max="4889" width="9.28515625" bestFit="1" customWidth="1"/>
    <col min="5121" max="5121" width="19.140625" customWidth="1"/>
    <col min="5122" max="5122" width="12.140625" bestFit="1" customWidth="1"/>
    <col min="5123" max="5123" width="15.5703125" bestFit="1" customWidth="1"/>
    <col min="5124" max="5124" width="15.140625" customWidth="1"/>
    <col min="5125" max="5125" width="16" customWidth="1"/>
    <col min="5126" max="5126" width="15.5703125" customWidth="1"/>
    <col min="5127" max="5127" width="15.42578125" customWidth="1"/>
    <col min="5128" max="5128" width="18.5703125" customWidth="1"/>
    <col min="5129" max="5129" width="16.42578125" customWidth="1"/>
    <col min="5130" max="5130" width="15.140625" customWidth="1"/>
    <col min="5131" max="5131" width="15.5703125" customWidth="1"/>
    <col min="5132" max="5132" width="17.42578125" customWidth="1"/>
    <col min="5133" max="5134" width="15.42578125" customWidth="1"/>
    <col min="5136" max="5136" width="20.28515625" customWidth="1"/>
    <col min="5137" max="5137" width="6.42578125" customWidth="1"/>
    <col min="5138" max="5139" width="15.5703125" bestFit="1" customWidth="1"/>
    <col min="5140" max="5140" width="15.5703125" customWidth="1"/>
    <col min="5141" max="5141" width="17.5703125" customWidth="1"/>
    <col min="5142" max="5142" width="16.28515625" bestFit="1" customWidth="1"/>
    <col min="5145" max="5145" width="9.28515625" bestFit="1" customWidth="1"/>
    <col min="5377" max="5377" width="19.140625" customWidth="1"/>
    <col min="5378" max="5378" width="12.140625" bestFit="1" customWidth="1"/>
    <col min="5379" max="5379" width="15.5703125" bestFit="1" customWidth="1"/>
    <col min="5380" max="5380" width="15.140625" customWidth="1"/>
    <col min="5381" max="5381" width="16" customWidth="1"/>
    <col min="5382" max="5382" width="15.5703125" customWidth="1"/>
    <col min="5383" max="5383" width="15.42578125" customWidth="1"/>
    <col min="5384" max="5384" width="18.5703125" customWidth="1"/>
    <col min="5385" max="5385" width="16.42578125" customWidth="1"/>
    <col min="5386" max="5386" width="15.140625" customWidth="1"/>
    <col min="5387" max="5387" width="15.5703125" customWidth="1"/>
    <col min="5388" max="5388" width="17.42578125" customWidth="1"/>
    <col min="5389" max="5390" width="15.42578125" customWidth="1"/>
    <col min="5392" max="5392" width="20.28515625" customWidth="1"/>
    <col min="5393" max="5393" width="6.42578125" customWidth="1"/>
    <col min="5394" max="5395" width="15.5703125" bestFit="1" customWidth="1"/>
    <col min="5396" max="5396" width="15.5703125" customWidth="1"/>
    <col min="5397" max="5397" width="17.5703125" customWidth="1"/>
    <col min="5398" max="5398" width="16.28515625" bestFit="1" customWidth="1"/>
    <col min="5401" max="5401" width="9.28515625" bestFit="1" customWidth="1"/>
    <col min="5633" max="5633" width="19.140625" customWidth="1"/>
    <col min="5634" max="5634" width="12.140625" bestFit="1" customWidth="1"/>
    <col min="5635" max="5635" width="15.5703125" bestFit="1" customWidth="1"/>
    <col min="5636" max="5636" width="15.140625" customWidth="1"/>
    <col min="5637" max="5637" width="16" customWidth="1"/>
    <col min="5638" max="5638" width="15.5703125" customWidth="1"/>
    <col min="5639" max="5639" width="15.42578125" customWidth="1"/>
    <col min="5640" max="5640" width="18.5703125" customWidth="1"/>
    <col min="5641" max="5641" width="16.42578125" customWidth="1"/>
    <col min="5642" max="5642" width="15.140625" customWidth="1"/>
    <col min="5643" max="5643" width="15.5703125" customWidth="1"/>
    <col min="5644" max="5644" width="17.42578125" customWidth="1"/>
    <col min="5645" max="5646" width="15.42578125" customWidth="1"/>
    <col min="5648" max="5648" width="20.28515625" customWidth="1"/>
    <col min="5649" max="5649" width="6.42578125" customWidth="1"/>
    <col min="5650" max="5651" width="15.5703125" bestFit="1" customWidth="1"/>
    <col min="5652" max="5652" width="15.5703125" customWidth="1"/>
    <col min="5653" max="5653" width="17.5703125" customWidth="1"/>
    <col min="5654" max="5654" width="16.28515625" bestFit="1" customWidth="1"/>
    <col min="5657" max="5657" width="9.28515625" bestFit="1" customWidth="1"/>
    <col min="5889" max="5889" width="19.140625" customWidth="1"/>
    <col min="5890" max="5890" width="12.140625" bestFit="1" customWidth="1"/>
    <col min="5891" max="5891" width="15.5703125" bestFit="1" customWidth="1"/>
    <col min="5892" max="5892" width="15.140625" customWidth="1"/>
    <col min="5893" max="5893" width="16" customWidth="1"/>
    <col min="5894" max="5894" width="15.5703125" customWidth="1"/>
    <col min="5895" max="5895" width="15.42578125" customWidth="1"/>
    <col min="5896" max="5896" width="18.5703125" customWidth="1"/>
    <col min="5897" max="5897" width="16.42578125" customWidth="1"/>
    <col min="5898" max="5898" width="15.140625" customWidth="1"/>
    <col min="5899" max="5899" width="15.5703125" customWidth="1"/>
    <col min="5900" max="5900" width="17.42578125" customWidth="1"/>
    <col min="5901" max="5902" width="15.42578125" customWidth="1"/>
    <col min="5904" max="5904" width="20.28515625" customWidth="1"/>
    <col min="5905" max="5905" width="6.42578125" customWidth="1"/>
    <col min="5906" max="5907" width="15.5703125" bestFit="1" customWidth="1"/>
    <col min="5908" max="5908" width="15.5703125" customWidth="1"/>
    <col min="5909" max="5909" width="17.5703125" customWidth="1"/>
    <col min="5910" max="5910" width="16.28515625" bestFit="1" customWidth="1"/>
    <col min="5913" max="5913" width="9.28515625" bestFit="1" customWidth="1"/>
    <col min="6145" max="6145" width="19.140625" customWidth="1"/>
    <col min="6146" max="6146" width="12.140625" bestFit="1" customWidth="1"/>
    <col min="6147" max="6147" width="15.5703125" bestFit="1" customWidth="1"/>
    <col min="6148" max="6148" width="15.140625" customWidth="1"/>
    <col min="6149" max="6149" width="16" customWidth="1"/>
    <col min="6150" max="6150" width="15.5703125" customWidth="1"/>
    <col min="6151" max="6151" width="15.42578125" customWidth="1"/>
    <col min="6152" max="6152" width="18.5703125" customWidth="1"/>
    <col min="6153" max="6153" width="16.42578125" customWidth="1"/>
    <col min="6154" max="6154" width="15.140625" customWidth="1"/>
    <col min="6155" max="6155" width="15.5703125" customWidth="1"/>
    <col min="6156" max="6156" width="17.42578125" customWidth="1"/>
    <col min="6157" max="6158" width="15.42578125" customWidth="1"/>
    <col min="6160" max="6160" width="20.28515625" customWidth="1"/>
    <col min="6161" max="6161" width="6.42578125" customWidth="1"/>
    <col min="6162" max="6163" width="15.5703125" bestFit="1" customWidth="1"/>
    <col min="6164" max="6164" width="15.5703125" customWidth="1"/>
    <col min="6165" max="6165" width="17.5703125" customWidth="1"/>
    <col min="6166" max="6166" width="16.28515625" bestFit="1" customWidth="1"/>
    <col min="6169" max="6169" width="9.28515625" bestFit="1" customWidth="1"/>
    <col min="6401" max="6401" width="19.140625" customWidth="1"/>
    <col min="6402" max="6402" width="12.140625" bestFit="1" customWidth="1"/>
    <col min="6403" max="6403" width="15.5703125" bestFit="1" customWidth="1"/>
    <col min="6404" max="6404" width="15.140625" customWidth="1"/>
    <col min="6405" max="6405" width="16" customWidth="1"/>
    <col min="6406" max="6406" width="15.5703125" customWidth="1"/>
    <col min="6407" max="6407" width="15.42578125" customWidth="1"/>
    <col min="6408" max="6408" width="18.5703125" customWidth="1"/>
    <col min="6409" max="6409" width="16.42578125" customWidth="1"/>
    <col min="6410" max="6410" width="15.140625" customWidth="1"/>
    <col min="6411" max="6411" width="15.5703125" customWidth="1"/>
    <col min="6412" max="6412" width="17.42578125" customWidth="1"/>
    <col min="6413" max="6414" width="15.42578125" customWidth="1"/>
    <col min="6416" max="6416" width="20.28515625" customWidth="1"/>
    <col min="6417" max="6417" width="6.42578125" customWidth="1"/>
    <col min="6418" max="6419" width="15.5703125" bestFit="1" customWidth="1"/>
    <col min="6420" max="6420" width="15.5703125" customWidth="1"/>
    <col min="6421" max="6421" width="17.5703125" customWidth="1"/>
    <col min="6422" max="6422" width="16.28515625" bestFit="1" customWidth="1"/>
    <col min="6425" max="6425" width="9.28515625" bestFit="1" customWidth="1"/>
    <col min="6657" max="6657" width="19.140625" customWidth="1"/>
    <col min="6658" max="6658" width="12.140625" bestFit="1" customWidth="1"/>
    <col min="6659" max="6659" width="15.5703125" bestFit="1" customWidth="1"/>
    <col min="6660" max="6660" width="15.140625" customWidth="1"/>
    <col min="6661" max="6661" width="16" customWidth="1"/>
    <col min="6662" max="6662" width="15.5703125" customWidth="1"/>
    <col min="6663" max="6663" width="15.42578125" customWidth="1"/>
    <col min="6664" max="6664" width="18.5703125" customWidth="1"/>
    <col min="6665" max="6665" width="16.42578125" customWidth="1"/>
    <col min="6666" max="6666" width="15.140625" customWidth="1"/>
    <col min="6667" max="6667" width="15.5703125" customWidth="1"/>
    <col min="6668" max="6668" width="17.42578125" customWidth="1"/>
    <col min="6669" max="6670" width="15.42578125" customWidth="1"/>
    <col min="6672" max="6672" width="20.28515625" customWidth="1"/>
    <col min="6673" max="6673" width="6.42578125" customWidth="1"/>
    <col min="6674" max="6675" width="15.5703125" bestFit="1" customWidth="1"/>
    <col min="6676" max="6676" width="15.5703125" customWidth="1"/>
    <col min="6677" max="6677" width="17.5703125" customWidth="1"/>
    <col min="6678" max="6678" width="16.28515625" bestFit="1" customWidth="1"/>
    <col min="6681" max="6681" width="9.28515625" bestFit="1" customWidth="1"/>
    <col min="6913" max="6913" width="19.140625" customWidth="1"/>
    <col min="6914" max="6914" width="12.140625" bestFit="1" customWidth="1"/>
    <col min="6915" max="6915" width="15.5703125" bestFit="1" customWidth="1"/>
    <col min="6916" max="6916" width="15.140625" customWidth="1"/>
    <col min="6917" max="6917" width="16" customWidth="1"/>
    <col min="6918" max="6918" width="15.5703125" customWidth="1"/>
    <col min="6919" max="6919" width="15.42578125" customWidth="1"/>
    <col min="6920" max="6920" width="18.5703125" customWidth="1"/>
    <col min="6921" max="6921" width="16.42578125" customWidth="1"/>
    <col min="6922" max="6922" width="15.140625" customWidth="1"/>
    <col min="6923" max="6923" width="15.5703125" customWidth="1"/>
    <col min="6924" max="6924" width="17.42578125" customWidth="1"/>
    <col min="6925" max="6926" width="15.42578125" customWidth="1"/>
    <col min="6928" max="6928" width="20.28515625" customWidth="1"/>
    <col min="6929" max="6929" width="6.42578125" customWidth="1"/>
    <col min="6930" max="6931" width="15.5703125" bestFit="1" customWidth="1"/>
    <col min="6932" max="6932" width="15.5703125" customWidth="1"/>
    <col min="6933" max="6933" width="17.5703125" customWidth="1"/>
    <col min="6934" max="6934" width="16.28515625" bestFit="1" customWidth="1"/>
    <col min="6937" max="6937" width="9.28515625" bestFit="1" customWidth="1"/>
    <col min="7169" max="7169" width="19.140625" customWidth="1"/>
    <col min="7170" max="7170" width="12.140625" bestFit="1" customWidth="1"/>
    <col min="7171" max="7171" width="15.5703125" bestFit="1" customWidth="1"/>
    <col min="7172" max="7172" width="15.140625" customWidth="1"/>
    <col min="7173" max="7173" width="16" customWidth="1"/>
    <col min="7174" max="7174" width="15.5703125" customWidth="1"/>
    <col min="7175" max="7175" width="15.42578125" customWidth="1"/>
    <col min="7176" max="7176" width="18.5703125" customWidth="1"/>
    <col min="7177" max="7177" width="16.42578125" customWidth="1"/>
    <col min="7178" max="7178" width="15.140625" customWidth="1"/>
    <col min="7179" max="7179" width="15.5703125" customWidth="1"/>
    <col min="7180" max="7180" width="17.42578125" customWidth="1"/>
    <col min="7181" max="7182" width="15.42578125" customWidth="1"/>
    <col min="7184" max="7184" width="20.28515625" customWidth="1"/>
    <col min="7185" max="7185" width="6.42578125" customWidth="1"/>
    <col min="7186" max="7187" width="15.5703125" bestFit="1" customWidth="1"/>
    <col min="7188" max="7188" width="15.5703125" customWidth="1"/>
    <col min="7189" max="7189" width="17.5703125" customWidth="1"/>
    <col min="7190" max="7190" width="16.28515625" bestFit="1" customWidth="1"/>
    <col min="7193" max="7193" width="9.28515625" bestFit="1" customWidth="1"/>
    <col min="7425" max="7425" width="19.140625" customWidth="1"/>
    <col min="7426" max="7426" width="12.140625" bestFit="1" customWidth="1"/>
    <col min="7427" max="7427" width="15.5703125" bestFit="1" customWidth="1"/>
    <col min="7428" max="7428" width="15.140625" customWidth="1"/>
    <col min="7429" max="7429" width="16" customWidth="1"/>
    <col min="7430" max="7430" width="15.5703125" customWidth="1"/>
    <col min="7431" max="7431" width="15.42578125" customWidth="1"/>
    <col min="7432" max="7432" width="18.5703125" customWidth="1"/>
    <col min="7433" max="7433" width="16.42578125" customWidth="1"/>
    <col min="7434" max="7434" width="15.140625" customWidth="1"/>
    <col min="7435" max="7435" width="15.5703125" customWidth="1"/>
    <col min="7436" max="7436" width="17.42578125" customWidth="1"/>
    <col min="7437" max="7438" width="15.42578125" customWidth="1"/>
    <col min="7440" max="7440" width="20.28515625" customWidth="1"/>
    <col min="7441" max="7441" width="6.42578125" customWidth="1"/>
    <col min="7442" max="7443" width="15.5703125" bestFit="1" customWidth="1"/>
    <col min="7444" max="7444" width="15.5703125" customWidth="1"/>
    <col min="7445" max="7445" width="17.5703125" customWidth="1"/>
    <col min="7446" max="7446" width="16.28515625" bestFit="1" customWidth="1"/>
    <col min="7449" max="7449" width="9.28515625" bestFit="1" customWidth="1"/>
    <col min="7681" max="7681" width="19.140625" customWidth="1"/>
    <col min="7682" max="7682" width="12.140625" bestFit="1" customWidth="1"/>
    <col min="7683" max="7683" width="15.5703125" bestFit="1" customWidth="1"/>
    <col min="7684" max="7684" width="15.140625" customWidth="1"/>
    <col min="7685" max="7685" width="16" customWidth="1"/>
    <col min="7686" max="7686" width="15.5703125" customWidth="1"/>
    <col min="7687" max="7687" width="15.42578125" customWidth="1"/>
    <col min="7688" max="7688" width="18.5703125" customWidth="1"/>
    <col min="7689" max="7689" width="16.42578125" customWidth="1"/>
    <col min="7690" max="7690" width="15.140625" customWidth="1"/>
    <col min="7691" max="7691" width="15.5703125" customWidth="1"/>
    <col min="7692" max="7692" width="17.42578125" customWidth="1"/>
    <col min="7693" max="7694" width="15.42578125" customWidth="1"/>
    <col min="7696" max="7696" width="20.28515625" customWidth="1"/>
    <col min="7697" max="7697" width="6.42578125" customWidth="1"/>
    <col min="7698" max="7699" width="15.5703125" bestFit="1" customWidth="1"/>
    <col min="7700" max="7700" width="15.5703125" customWidth="1"/>
    <col min="7701" max="7701" width="17.5703125" customWidth="1"/>
    <col min="7702" max="7702" width="16.28515625" bestFit="1" customWidth="1"/>
    <col min="7705" max="7705" width="9.28515625" bestFit="1" customWidth="1"/>
    <col min="7937" max="7937" width="19.140625" customWidth="1"/>
    <col min="7938" max="7938" width="12.140625" bestFit="1" customWidth="1"/>
    <col min="7939" max="7939" width="15.5703125" bestFit="1" customWidth="1"/>
    <col min="7940" max="7940" width="15.140625" customWidth="1"/>
    <col min="7941" max="7941" width="16" customWidth="1"/>
    <col min="7942" max="7942" width="15.5703125" customWidth="1"/>
    <col min="7943" max="7943" width="15.42578125" customWidth="1"/>
    <col min="7944" max="7944" width="18.5703125" customWidth="1"/>
    <col min="7945" max="7945" width="16.42578125" customWidth="1"/>
    <col min="7946" max="7946" width="15.140625" customWidth="1"/>
    <col min="7947" max="7947" width="15.5703125" customWidth="1"/>
    <col min="7948" max="7948" width="17.42578125" customWidth="1"/>
    <col min="7949" max="7950" width="15.42578125" customWidth="1"/>
    <col min="7952" max="7952" width="20.28515625" customWidth="1"/>
    <col min="7953" max="7953" width="6.42578125" customWidth="1"/>
    <col min="7954" max="7955" width="15.5703125" bestFit="1" customWidth="1"/>
    <col min="7956" max="7956" width="15.5703125" customWidth="1"/>
    <col min="7957" max="7957" width="17.5703125" customWidth="1"/>
    <col min="7958" max="7958" width="16.28515625" bestFit="1" customWidth="1"/>
    <col min="7961" max="7961" width="9.28515625" bestFit="1" customWidth="1"/>
    <col min="8193" max="8193" width="19.140625" customWidth="1"/>
    <col min="8194" max="8194" width="12.140625" bestFit="1" customWidth="1"/>
    <col min="8195" max="8195" width="15.5703125" bestFit="1" customWidth="1"/>
    <col min="8196" max="8196" width="15.140625" customWidth="1"/>
    <col min="8197" max="8197" width="16" customWidth="1"/>
    <col min="8198" max="8198" width="15.5703125" customWidth="1"/>
    <col min="8199" max="8199" width="15.42578125" customWidth="1"/>
    <col min="8200" max="8200" width="18.5703125" customWidth="1"/>
    <col min="8201" max="8201" width="16.42578125" customWidth="1"/>
    <col min="8202" max="8202" width="15.140625" customWidth="1"/>
    <col min="8203" max="8203" width="15.5703125" customWidth="1"/>
    <col min="8204" max="8204" width="17.42578125" customWidth="1"/>
    <col min="8205" max="8206" width="15.42578125" customWidth="1"/>
    <col min="8208" max="8208" width="20.28515625" customWidth="1"/>
    <col min="8209" max="8209" width="6.42578125" customWidth="1"/>
    <col min="8210" max="8211" width="15.5703125" bestFit="1" customWidth="1"/>
    <col min="8212" max="8212" width="15.5703125" customWidth="1"/>
    <col min="8213" max="8213" width="17.5703125" customWidth="1"/>
    <col min="8214" max="8214" width="16.28515625" bestFit="1" customWidth="1"/>
    <col min="8217" max="8217" width="9.28515625" bestFit="1" customWidth="1"/>
    <col min="8449" max="8449" width="19.140625" customWidth="1"/>
    <col min="8450" max="8450" width="12.140625" bestFit="1" customWidth="1"/>
    <col min="8451" max="8451" width="15.5703125" bestFit="1" customWidth="1"/>
    <col min="8452" max="8452" width="15.140625" customWidth="1"/>
    <col min="8453" max="8453" width="16" customWidth="1"/>
    <col min="8454" max="8454" width="15.5703125" customWidth="1"/>
    <col min="8455" max="8455" width="15.42578125" customWidth="1"/>
    <col min="8456" max="8456" width="18.5703125" customWidth="1"/>
    <col min="8457" max="8457" width="16.42578125" customWidth="1"/>
    <col min="8458" max="8458" width="15.140625" customWidth="1"/>
    <col min="8459" max="8459" width="15.5703125" customWidth="1"/>
    <col min="8460" max="8460" width="17.42578125" customWidth="1"/>
    <col min="8461" max="8462" width="15.42578125" customWidth="1"/>
    <col min="8464" max="8464" width="20.28515625" customWidth="1"/>
    <col min="8465" max="8465" width="6.42578125" customWidth="1"/>
    <col min="8466" max="8467" width="15.5703125" bestFit="1" customWidth="1"/>
    <col min="8468" max="8468" width="15.5703125" customWidth="1"/>
    <col min="8469" max="8469" width="17.5703125" customWidth="1"/>
    <col min="8470" max="8470" width="16.28515625" bestFit="1" customWidth="1"/>
    <col min="8473" max="8473" width="9.28515625" bestFit="1" customWidth="1"/>
    <col min="8705" max="8705" width="19.140625" customWidth="1"/>
    <col min="8706" max="8706" width="12.140625" bestFit="1" customWidth="1"/>
    <col min="8707" max="8707" width="15.5703125" bestFit="1" customWidth="1"/>
    <col min="8708" max="8708" width="15.140625" customWidth="1"/>
    <col min="8709" max="8709" width="16" customWidth="1"/>
    <col min="8710" max="8710" width="15.5703125" customWidth="1"/>
    <col min="8711" max="8711" width="15.42578125" customWidth="1"/>
    <col min="8712" max="8712" width="18.5703125" customWidth="1"/>
    <col min="8713" max="8713" width="16.42578125" customWidth="1"/>
    <col min="8714" max="8714" width="15.140625" customWidth="1"/>
    <col min="8715" max="8715" width="15.5703125" customWidth="1"/>
    <col min="8716" max="8716" width="17.42578125" customWidth="1"/>
    <col min="8717" max="8718" width="15.42578125" customWidth="1"/>
    <col min="8720" max="8720" width="20.28515625" customWidth="1"/>
    <col min="8721" max="8721" width="6.42578125" customWidth="1"/>
    <col min="8722" max="8723" width="15.5703125" bestFit="1" customWidth="1"/>
    <col min="8724" max="8724" width="15.5703125" customWidth="1"/>
    <col min="8725" max="8725" width="17.5703125" customWidth="1"/>
    <col min="8726" max="8726" width="16.28515625" bestFit="1" customWidth="1"/>
    <col min="8729" max="8729" width="9.28515625" bestFit="1" customWidth="1"/>
    <col min="8961" max="8961" width="19.140625" customWidth="1"/>
    <col min="8962" max="8962" width="12.140625" bestFit="1" customWidth="1"/>
    <col min="8963" max="8963" width="15.5703125" bestFit="1" customWidth="1"/>
    <col min="8964" max="8964" width="15.140625" customWidth="1"/>
    <col min="8965" max="8965" width="16" customWidth="1"/>
    <col min="8966" max="8966" width="15.5703125" customWidth="1"/>
    <col min="8967" max="8967" width="15.42578125" customWidth="1"/>
    <col min="8968" max="8968" width="18.5703125" customWidth="1"/>
    <col min="8969" max="8969" width="16.42578125" customWidth="1"/>
    <col min="8970" max="8970" width="15.140625" customWidth="1"/>
    <col min="8971" max="8971" width="15.5703125" customWidth="1"/>
    <col min="8972" max="8972" width="17.42578125" customWidth="1"/>
    <col min="8973" max="8974" width="15.42578125" customWidth="1"/>
    <col min="8976" max="8976" width="20.28515625" customWidth="1"/>
    <col min="8977" max="8977" width="6.42578125" customWidth="1"/>
    <col min="8978" max="8979" width="15.5703125" bestFit="1" customWidth="1"/>
    <col min="8980" max="8980" width="15.5703125" customWidth="1"/>
    <col min="8981" max="8981" width="17.5703125" customWidth="1"/>
    <col min="8982" max="8982" width="16.28515625" bestFit="1" customWidth="1"/>
    <col min="8985" max="8985" width="9.28515625" bestFit="1" customWidth="1"/>
    <col min="9217" max="9217" width="19.140625" customWidth="1"/>
    <col min="9218" max="9218" width="12.140625" bestFit="1" customWidth="1"/>
    <col min="9219" max="9219" width="15.5703125" bestFit="1" customWidth="1"/>
    <col min="9220" max="9220" width="15.140625" customWidth="1"/>
    <col min="9221" max="9221" width="16" customWidth="1"/>
    <col min="9222" max="9222" width="15.5703125" customWidth="1"/>
    <col min="9223" max="9223" width="15.42578125" customWidth="1"/>
    <col min="9224" max="9224" width="18.5703125" customWidth="1"/>
    <col min="9225" max="9225" width="16.42578125" customWidth="1"/>
    <col min="9226" max="9226" width="15.140625" customWidth="1"/>
    <col min="9227" max="9227" width="15.5703125" customWidth="1"/>
    <col min="9228" max="9228" width="17.42578125" customWidth="1"/>
    <col min="9229" max="9230" width="15.42578125" customWidth="1"/>
    <col min="9232" max="9232" width="20.28515625" customWidth="1"/>
    <col min="9233" max="9233" width="6.42578125" customWidth="1"/>
    <col min="9234" max="9235" width="15.5703125" bestFit="1" customWidth="1"/>
    <col min="9236" max="9236" width="15.5703125" customWidth="1"/>
    <col min="9237" max="9237" width="17.5703125" customWidth="1"/>
    <col min="9238" max="9238" width="16.28515625" bestFit="1" customWidth="1"/>
    <col min="9241" max="9241" width="9.28515625" bestFit="1" customWidth="1"/>
    <col min="9473" max="9473" width="19.140625" customWidth="1"/>
    <col min="9474" max="9474" width="12.140625" bestFit="1" customWidth="1"/>
    <col min="9475" max="9475" width="15.5703125" bestFit="1" customWidth="1"/>
    <col min="9476" max="9476" width="15.140625" customWidth="1"/>
    <col min="9477" max="9477" width="16" customWidth="1"/>
    <col min="9478" max="9478" width="15.5703125" customWidth="1"/>
    <col min="9479" max="9479" width="15.42578125" customWidth="1"/>
    <col min="9480" max="9480" width="18.5703125" customWidth="1"/>
    <col min="9481" max="9481" width="16.42578125" customWidth="1"/>
    <col min="9482" max="9482" width="15.140625" customWidth="1"/>
    <col min="9483" max="9483" width="15.5703125" customWidth="1"/>
    <col min="9484" max="9484" width="17.42578125" customWidth="1"/>
    <col min="9485" max="9486" width="15.42578125" customWidth="1"/>
    <col min="9488" max="9488" width="20.28515625" customWidth="1"/>
    <col min="9489" max="9489" width="6.42578125" customWidth="1"/>
    <col min="9490" max="9491" width="15.5703125" bestFit="1" customWidth="1"/>
    <col min="9492" max="9492" width="15.5703125" customWidth="1"/>
    <col min="9493" max="9493" width="17.5703125" customWidth="1"/>
    <col min="9494" max="9494" width="16.28515625" bestFit="1" customWidth="1"/>
    <col min="9497" max="9497" width="9.28515625" bestFit="1" customWidth="1"/>
    <col min="9729" max="9729" width="19.140625" customWidth="1"/>
    <col min="9730" max="9730" width="12.140625" bestFit="1" customWidth="1"/>
    <col min="9731" max="9731" width="15.5703125" bestFit="1" customWidth="1"/>
    <col min="9732" max="9732" width="15.140625" customWidth="1"/>
    <col min="9733" max="9733" width="16" customWidth="1"/>
    <col min="9734" max="9734" width="15.5703125" customWidth="1"/>
    <col min="9735" max="9735" width="15.42578125" customWidth="1"/>
    <col min="9736" max="9736" width="18.5703125" customWidth="1"/>
    <col min="9737" max="9737" width="16.42578125" customWidth="1"/>
    <col min="9738" max="9738" width="15.140625" customWidth="1"/>
    <col min="9739" max="9739" width="15.5703125" customWidth="1"/>
    <col min="9740" max="9740" width="17.42578125" customWidth="1"/>
    <col min="9741" max="9742" width="15.42578125" customWidth="1"/>
    <col min="9744" max="9744" width="20.28515625" customWidth="1"/>
    <col min="9745" max="9745" width="6.42578125" customWidth="1"/>
    <col min="9746" max="9747" width="15.5703125" bestFit="1" customWidth="1"/>
    <col min="9748" max="9748" width="15.5703125" customWidth="1"/>
    <col min="9749" max="9749" width="17.5703125" customWidth="1"/>
    <col min="9750" max="9750" width="16.28515625" bestFit="1" customWidth="1"/>
    <col min="9753" max="9753" width="9.28515625" bestFit="1" customWidth="1"/>
    <col min="9985" max="9985" width="19.140625" customWidth="1"/>
    <col min="9986" max="9986" width="12.140625" bestFit="1" customWidth="1"/>
    <col min="9987" max="9987" width="15.5703125" bestFit="1" customWidth="1"/>
    <col min="9988" max="9988" width="15.140625" customWidth="1"/>
    <col min="9989" max="9989" width="16" customWidth="1"/>
    <col min="9990" max="9990" width="15.5703125" customWidth="1"/>
    <col min="9991" max="9991" width="15.42578125" customWidth="1"/>
    <col min="9992" max="9992" width="18.5703125" customWidth="1"/>
    <col min="9993" max="9993" width="16.42578125" customWidth="1"/>
    <col min="9994" max="9994" width="15.140625" customWidth="1"/>
    <col min="9995" max="9995" width="15.5703125" customWidth="1"/>
    <col min="9996" max="9996" width="17.42578125" customWidth="1"/>
    <col min="9997" max="9998" width="15.42578125" customWidth="1"/>
    <col min="10000" max="10000" width="20.28515625" customWidth="1"/>
    <col min="10001" max="10001" width="6.42578125" customWidth="1"/>
    <col min="10002" max="10003" width="15.5703125" bestFit="1" customWidth="1"/>
    <col min="10004" max="10004" width="15.5703125" customWidth="1"/>
    <col min="10005" max="10005" width="17.5703125" customWidth="1"/>
    <col min="10006" max="10006" width="16.28515625" bestFit="1" customWidth="1"/>
    <col min="10009" max="10009" width="9.28515625" bestFit="1" customWidth="1"/>
    <col min="10241" max="10241" width="19.140625" customWidth="1"/>
    <col min="10242" max="10242" width="12.140625" bestFit="1" customWidth="1"/>
    <col min="10243" max="10243" width="15.5703125" bestFit="1" customWidth="1"/>
    <col min="10244" max="10244" width="15.140625" customWidth="1"/>
    <col min="10245" max="10245" width="16" customWidth="1"/>
    <col min="10246" max="10246" width="15.5703125" customWidth="1"/>
    <col min="10247" max="10247" width="15.42578125" customWidth="1"/>
    <col min="10248" max="10248" width="18.5703125" customWidth="1"/>
    <col min="10249" max="10249" width="16.42578125" customWidth="1"/>
    <col min="10250" max="10250" width="15.140625" customWidth="1"/>
    <col min="10251" max="10251" width="15.5703125" customWidth="1"/>
    <col min="10252" max="10252" width="17.42578125" customWidth="1"/>
    <col min="10253" max="10254" width="15.42578125" customWidth="1"/>
    <col min="10256" max="10256" width="20.28515625" customWidth="1"/>
    <col min="10257" max="10257" width="6.42578125" customWidth="1"/>
    <col min="10258" max="10259" width="15.5703125" bestFit="1" customWidth="1"/>
    <col min="10260" max="10260" width="15.5703125" customWidth="1"/>
    <col min="10261" max="10261" width="17.5703125" customWidth="1"/>
    <col min="10262" max="10262" width="16.28515625" bestFit="1" customWidth="1"/>
    <col min="10265" max="10265" width="9.28515625" bestFit="1" customWidth="1"/>
    <col min="10497" max="10497" width="19.140625" customWidth="1"/>
    <col min="10498" max="10498" width="12.140625" bestFit="1" customWidth="1"/>
    <col min="10499" max="10499" width="15.5703125" bestFit="1" customWidth="1"/>
    <col min="10500" max="10500" width="15.140625" customWidth="1"/>
    <col min="10501" max="10501" width="16" customWidth="1"/>
    <col min="10502" max="10502" width="15.5703125" customWidth="1"/>
    <col min="10503" max="10503" width="15.42578125" customWidth="1"/>
    <col min="10504" max="10504" width="18.5703125" customWidth="1"/>
    <col min="10505" max="10505" width="16.42578125" customWidth="1"/>
    <col min="10506" max="10506" width="15.140625" customWidth="1"/>
    <col min="10507" max="10507" width="15.5703125" customWidth="1"/>
    <col min="10508" max="10508" width="17.42578125" customWidth="1"/>
    <col min="10509" max="10510" width="15.42578125" customWidth="1"/>
    <col min="10512" max="10512" width="20.28515625" customWidth="1"/>
    <col min="10513" max="10513" width="6.42578125" customWidth="1"/>
    <col min="10514" max="10515" width="15.5703125" bestFit="1" customWidth="1"/>
    <col min="10516" max="10516" width="15.5703125" customWidth="1"/>
    <col min="10517" max="10517" width="17.5703125" customWidth="1"/>
    <col min="10518" max="10518" width="16.28515625" bestFit="1" customWidth="1"/>
    <col min="10521" max="10521" width="9.28515625" bestFit="1" customWidth="1"/>
    <col min="10753" max="10753" width="19.140625" customWidth="1"/>
    <col min="10754" max="10754" width="12.140625" bestFit="1" customWidth="1"/>
    <col min="10755" max="10755" width="15.5703125" bestFit="1" customWidth="1"/>
    <col min="10756" max="10756" width="15.140625" customWidth="1"/>
    <col min="10757" max="10757" width="16" customWidth="1"/>
    <col min="10758" max="10758" width="15.5703125" customWidth="1"/>
    <col min="10759" max="10759" width="15.42578125" customWidth="1"/>
    <col min="10760" max="10760" width="18.5703125" customWidth="1"/>
    <col min="10761" max="10761" width="16.42578125" customWidth="1"/>
    <col min="10762" max="10762" width="15.140625" customWidth="1"/>
    <col min="10763" max="10763" width="15.5703125" customWidth="1"/>
    <col min="10764" max="10764" width="17.42578125" customWidth="1"/>
    <col min="10765" max="10766" width="15.42578125" customWidth="1"/>
    <col min="10768" max="10768" width="20.28515625" customWidth="1"/>
    <col min="10769" max="10769" width="6.42578125" customWidth="1"/>
    <col min="10770" max="10771" width="15.5703125" bestFit="1" customWidth="1"/>
    <col min="10772" max="10772" width="15.5703125" customWidth="1"/>
    <col min="10773" max="10773" width="17.5703125" customWidth="1"/>
    <col min="10774" max="10774" width="16.28515625" bestFit="1" customWidth="1"/>
    <col min="10777" max="10777" width="9.28515625" bestFit="1" customWidth="1"/>
    <col min="11009" max="11009" width="19.140625" customWidth="1"/>
    <col min="11010" max="11010" width="12.140625" bestFit="1" customWidth="1"/>
    <col min="11011" max="11011" width="15.5703125" bestFit="1" customWidth="1"/>
    <col min="11012" max="11012" width="15.140625" customWidth="1"/>
    <col min="11013" max="11013" width="16" customWidth="1"/>
    <col min="11014" max="11014" width="15.5703125" customWidth="1"/>
    <col min="11015" max="11015" width="15.42578125" customWidth="1"/>
    <col min="11016" max="11016" width="18.5703125" customWidth="1"/>
    <col min="11017" max="11017" width="16.42578125" customWidth="1"/>
    <col min="11018" max="11018" width="15.140625" customWidth="1"/>
    <col min="11019" max="11019" width="15.5703125" customWidth="1"/>
    <col min="11020" max="11020" width="17.42578125" customWidth="1"/>
    <col min="11021" max="11022" width="15.42578125" customWidth="1"/>
    <col min="11024" max="11024" width="20.28515625" customWidth="1"/>
    <col min="11025" max="11025" width="6.42578125" customWidth="1"/>
    <col min="11026" max="11027" width="15.5703125" bestFit="1" customWidth="1"/>
    <col min="11028" max="11028" width="15.5703125" customWidth="1"/>
    <col min="11029" max="11029" width="17.5703125" customWidth="1"/>
    <col min="11030" max="11030" width="16.28515625" bestFit="1" customWidth="1"/>
    <col min="11033" max="11033" width="9.28515625" bestFit="1" customWidth="1"/>
    <col min="11265" max="11265" width="19.140625" customWidth="1"/>
    <col min="11266" max="11266" width="12.140625" bestFit="1" customWidth="1"/>
    <col min="11267" max="11267" width="15.5703125" bestFit="1" customWidth="1"/>
    <col min="11268" max="11268" width="15.140625" customWidth="1"/>
    <col min="11269" max="11269" width="16" customWidth="1"/>
    <col min="11270" max="11270" width="15.5703125" customWidth="1"/>
    <col min="11271" max="11271" width="15.42578125" customWidth="1"/>
    <col min="11272" max="11272" width="18.5703125" customWidth="1"/>
    <col min="11273" max="11273" width="16.42578125" customWidth="1"/>
    <col min="11274" max="11274" width="15.140625" customWidth="1"/>
    <col min="11275" max="11275" width="15.5703125" customWidth="1"/>
    <col min="11276" max="11276" width="17.42578125" customWidth="1"/>
    <col min="11277" max="11278" width="15.42578125" customWidth="1"/>
    <col min="11280" max="11280" width="20.28515625" customWidth="1"/>
    <col min="11281" max="11281" width="6.42578125" customWidth="1"/>
    <col min="11282" max="11283" width="15.5703125" bestFit="1" customWidth="1"/>
    <col min="11284" max="11284" width="15.5703125" customWidth="1"/>
    <col min="11285" max="11285" width="17.5703125" customWidth="1"/>
    <col min="11286" max="11286" width="16.28515625" bestFit="1" customWidth="1"/>
    <col min="11289" max="11289" width="9.28515625" bestFit="1" customWidth="1"/>
    <col min="11521" max="11521" width="19.140625" customWidth="1"/>
    <col min="11522" max="11522" width="12.140625" bestFit="1" customWidth="1"/>
    <col min="11523" max="11523" width="15.5703125" bestFit="1" customWidth="1"/>
    <col min="11524" max="11524" width="15.140625" customWidth="1"/>
    <col min="11525" max="11525" width="16" customWidth="1"/>
    <col min="11526" max="11526" width="15.5703125" customWidth="1"/>
    <col min="11527" max="11527" width="15.42578125" customWidth="1"/>
    <col min="11528" max="11528" width="18.5703125" customWidth="1"/>
    <col min="11529" max="11529" width="16.42578125" customWidth="1"/>
    <col min="11530" max="11530" width="15.140625" customWidth="1"/>
    <col min="11531" max="11531" width="15.5703125" customWidth="1"/>
    <col min="11532" max="11532" width="17.42578125" customWidth="1"/>
    <col min="11533" max="11534" width="15.42578125" customWidth="1"/>
    <col min="11536" max="11536" width="20.28515625" customWidth="1"/>
    <col min="11537" max="11537" width="6.42578125" customWidth="1"/>
    <col min="11538" max="11539" width="15.5703125" bestFit="1" customWidth="1"/>
    <col min="11540" max="11540" width="15.5703125" customWidth="1"/>
    <col min="11541" max="11541" width="17.5703125" customWidth="1"/>
    <col min="11542" max="11542" width="16.28515625" bestFit="1" customWidth="1"/>
    <col min="11545" max="11545" width="9.28515625" bestFit="1" customWidth="1"/>
    <col min="11777" max="11777" width="19.140625" customWidth="1"/>
    <col min="11778" max="11778" width="12.140625" bestFit="1" customWidth="1"/>
    <col min="11779" max="11779" width="15.5703125" bestFit="1" customWidth="1"/>
    <col min="11780" max="11780" width="15.140625" customWidth="1"/>
    <col min="11781" max="11781" width="16" customWidth="1"/>
    <col min="11782" max="11782" width="15.5703125" customWidth="1"/>
    <col min="11783" max="11783" width="15.42578125" customWidth="1"/>
    <col min="11784" max="11784" width="18.5703125" customWidth="1"/>
    <col min="11785" max="11785" width="16.42578125" customWidth="1"/>
    <col min="11786" max="11786" width="15.140625" customWidth="1"/>
    <col min="11787" max="11787" width="15.5703125" customWidth="1"/>
    <col min="11788" max="11788" width="17.42578125" customWidth="1"/>
    <col min="11789" max="11790" width="15.42578125" customWidth="1"/>
    <col min="11792" max="11792" width="20.28515625" customWidth="1"/>
    <col min="11793" max="11793" width="6.42578125" customWidth="1"/>
    <col min="11794" max="11795" width="15.5703125" bestFit="1" customWidth="1"/>
    <col min="11796" max="11796" width="15.5703125" customWidth="1"/>
    <col min="11797" max="11797" width="17.5703125" customWidth="1"/>
    <col min="11798" max="11798" width="16.28515625" bestFit="1" customWidth="1"/>
    <col min="11801" max="11801" width="9.28515625" bestFit="1" customWidth="1"/>
    <col min="12033" max="12033" width="19.140625" customWidth="1"/>
    <col min="12034" max="12034" width="12.140625" bestFit="1" customWidth="1"/>
    <col min="12035" max="12035" width="15.5703125" bestFit="1" customWidth="1"/>
    <col min="12036" max="12036" width="15.140625" customWidth="1"/>
    <col min="12037" max="12037" width="16" customWidth="1"/>
    <col min="12038" max="12038" width="15.5703125" customWidth="1"/>
    <col min="12039" max="12039" width="15.42578125" customWidth="1"/>
    <col min="12040" max="12040" width="18.5703125" customWidth="1"/>
    <col min="12041" max="12041" width="16.42578125" customWidth="1"/>
    <col min="12042" max="12042" width="15.140625" customWidth="1"/>
    <col min="12043" max="12043" width="15.5703125" customWidth="1"/>
    <col min="12044" max="12044" width="17.42578125" customWidth="1"/>
    <col min="12045" max="12046" width="15.42578125" customWidth="1"/>
    <col min="12048" max="12048" width="20.28515625" customWidth="1"/>
    <col min="12049" max="12049" width="6.42578125" customWidth="1"/>
    <col min="12050" max="12051" width="15.5703125" bestFit="1" customWidth="1"/>
    <col min="12052" max="12052" width="15.5703125" customWidth="1"/>
    <col min="12053" max="12053" width="17.5703125" customWidth="1"/>
    <col min="12054" max="12054" width="16.28515625" bestFit="1" customWidth="1"/>
    <col min="12057" max="12057" width="9.28515625" bestFit="1" customWidth="1"/>
    <col min="12289" max="12289" width="19.140625" customWidth="1"/>
    <col min="12290" max="12290" width="12.140625" bestFit="1" customWidth="1"/>
    <col min="12291" max="12291" width="15.5703125" bestFit="1" customWidth="1"/>
    <col min="12292" max="12292" width="15.140625" customWidth="1"/>
    <col min="12293" max="12293" width="16" customWidth="1"/>
    <col min="12294" max="12294" width="15.5703125" customWidth="1"/>
    <col min="12295" max="12295" width="15.42578125" customWidth="1"/>
    <col min="12296" max="12296" width="18.5703125" customWidth="1"/>
    <col min="12297" max="12297" width="16.42578125" customWidth="1"/>
    <col min="12298" max="12298" width="15.140625" customWidth="1"/>
    <col min="12299" max="12299" width="15.5703125" customWidth="1"/>
    <col min="12300" max="12300" width="17.42578125" customWidth="1"/>
    <col min="12301" max="12302" width="15.42578125" customWidth="1"/>
    <col min="12304" max="12304" width="20.28515625" customWidth="1"/>
    <col min="12305" max="12305" width="6.42578125" customWidth="1"/>
    <col min="12306" max="12307" width="15.5703125" bestFit="1" customWidth="1"/>
    <col min="12308" max="12308" width="15.5703125" customWidth="1"/>
    <col min="12309" max="12309" width="17.5703125" customWidth="1"/>
    <col min="12310" max="12310" width="16.28515625" bestFit="1" customWidth="1"/>
    <col min="12313" max="12313" width="9.28515625" bestFit="1" customWidth="1"/>
    <col min="12545" max="12545" width="19.140625" customWidth="1"/>
    <col min="12546" max="12546" width="12.140625" bestFit="1" customWidth="1"/>
    <col min="12547" max="12547" width="15.5703125" bestFit="1" customWidth="1"/>
    <col min="12548" max="12548" width="15.140625" customWidth="1"/>
    <col min="12549" max="12549" width="16" customWidth="1"/>
    <col min="12550" max="12550" width="15.5703125" customWidth="1"/>
    <col min="12551" max="12551" width="15.42578125" customWidth="1"/>
    <col min="12552" max="12552" width="18.5703125" customWidth="1"/>
    <col min="12553" max="12553" width="16.42578125" customWidth="1"/>
    <col min="12554" max="12554" width="15.140625" customWidth="1"/>
    <col min="12555" max="12555" width="15.5703125" customWidth="1"/>
    <col min="12556" max="12556" width="17.42578125" customWidth="1"/>
    <col min="12557" max="12558" width="15.42578125" customWidth="1"/>
    <col min="12560" max="12560" width="20.28515625" customWidth="1"/>
    <col min="12561" max="12561" width="6.42578125" customWidth="1"/>
    <col min="12562" max="12563" width="15.5703125" bestFit="1" customWidth="1"/>
    <col min="12564" max="12564" width="15.5703125" customWidth="1"/>
    <col min="12565" max="12565" width="17.5703125" customWidth="1"/>
    <col min="12566" max="12566" width="16.28515625" bestFit="1" customWidth="1"/>
    <col min="12569" max="12569" width="9.28515625" bestFit="1" customWidth="1"/>
    <col min="12801" max="12801" width="19.140625" customWidth="1"/>
    <col min="12802" max="12802" width="12.140625" bestFit="1" customWidth="1"/>
    <col min="12803" max="12803" width="15.5703125" bestFit="1" customWidth="1"/>
    <col min="12804" max="12804" width="15.140625" customWidth="1"/>
    <col min="12805" max="12805" width="16" customWidth="1"/>
    <col min="12806" max="12806" width="15.5703125" customWidth="1"/>
    <col min="12807" max="12807" width="15.42578125" customWidth="1"/>
    <col min="12808" max="12808" width="18.5703125" customWidth="1"/>
    <col min="12809" max="12809" width="16.42578125" customWidth="1"/>
    <col min="12810" max="12810" width="15.140625" customWidth="1"/>
    <col min="12811" max="12811" width="15.5703125" customWidth="1"/>
    <col min="12812" max="12812" width="17.42578125" customWidth="1"/>
    <col min="12813" max="12814" width="15.42578125" customWidth="1"/>
    <col min="12816" max="12816" width="20.28515625" customWidth="1"/>
    <col min="12817" max="12817" width="6.42578125" customWidth="1"/>
    <col min="12818" max="12819" width="15.5703125" bestFit="1" customWidth="1"/>
    <col min="12820" max="12820" width="15.5703125" customWidth="1"/>
    <col min="12821" max="12821" width="17.5703125" customWidth="1"/>
    <col min="12822" max="12822" width="16.28515625" bestFit="1" customWidth="1"/>
    <col min="12825" max="12825" width="9.28515625" bestFit="1" customWidth="1"/>
    <col min="13057" max="13057" width="19.140625" customWidth="1"/>
    <col min="13058" max="13058" width="12.140625" bestFit="1" customWidth="1"/>
    <col min="13059" max="13059" width="15.5703125" bestFit="1" customWidth="1"/>
    <col min="13060" max="13060" width="15.140625" customWidth="1"/>
    <col min="13061" max="13061" width="16" customWidth="1"/>
    <col min="13062" max="13062" width="15.5703125" customWidth="1"/>
    <col min="13063" max="13063" width="15.42578125" customWidth="1"/>
    <col min="13064" max="13064" width="18.5703125" customWidth="1"/>
    <col min="13065" max="13065" width="16.42578125" customWidth="1"/>
    <col min="13066" max="13066" width="15.140625" customWidth="1"/>
    <col min="13067" max="13067" width="15.5703125" customWidth="1"/>
    <col min="13068" max="13068" width="17.42578125" customWidth="1"/>
    <col min="13069" max="13070" width="15.42578125" customWidth="1"/>
    <col min="13072" max="13072" width="20.28515625" customWidth="1"/>
    <col min="13073" max="13073" width="6.42578125" customWidth="1"/>
    <col min="13074" max="13075" width="15.5703125" bestFit="1" customWidth="1"/>
    <col min="13076" max="13076" width="15.5703125" customWidth="1"/>
    <col min="13077" max="13077" width="17.5703125" customWidth="1"/>
    <col min="13078" max="13078" width="16.28515625" bestFit="1" customWidth="1"/>
    <col min="13081" max="13081" width="9.28515625" bestFit="1" customWidth="1"/>
    <col min="13313" max="13313" width="19.140625" customWidth="1"/>
    <col min="13314" max="13314" width="12.140625" bestFit="1" customWidth="1"/>
    <col min="13315" max="13315" width="15.5703125" bestFit="1" customWidth="1"/>
    <col min="13316" max="13316" width="15.140625" customWidth="1"/>
    <col min="13317" max="13317" width="16" customWidth="1"/>
    <col min="13318" max="13318" width="15.5703125" customWidth="1"/>
    <col min="13319" max="13319" width="15.42578125" customWidth="1"/>
    <col min="13320" max="13320" width="18.5703125" customWidth="1"/>
    <col min="13321" max="13321" width="16.42578125" customWidth="1"/>
    <col min="13322" max="13322" width="15.140625" customWidth="1"/>
    <col min="13323" max="13323" width="15.5703125" customWidth="1"/>
    <col min="13324" max="13324" width="17.42578125" customWidth="1"/>
    <col min="13325" max="13326" width="15.42578125" customWidth="1"/>
    <col min="13328" max="13328" width="20.28515625" customWidth="1"/>
    <col min="13329" max="13329" width="6.42578125" customWidth="1"/>
    <col min="13330" max="13331" width="15.5703125" bestFit="1" customWidth="1"/>
    <col min="13332" max="13332" width="15.5703125" customWidth="1"/>
    <col min="13333" max="13333" width="17.5703125" customWidth="1"/>
    <col min="13334" max="13334" width="16.28515625" bestFit="1" customWidth="1"/>
    <col min="13337" max="13337" width="9.28515625" bestFit="1" customWidth="1"/>
    <col min="13569" max="13569" width="19.140625" customWidth="1"/>
    <col min="13570" max="13570" width="12.140625" bestFit="1" customWidth="1"/>
    <col min="13571" max="13571" width="15.5703125" bestFit="1" customWidth="1"/>
    <col min="13572" max="13572" width="15.140625" customWidth="1"/>
    <col min="13573" max="13573" width="16" customWidth="1"/>
    <col min="13574" max="13574" width="15.5703125" customWidth="1"/>
    <col min="13575" max="13575" width="15.42578125" customWidth="1"/>
    <col min="13576" max="13576" width="18.5703125" customWidth="1"/>
    <col min="13577" max="13577" width="16.42578125" customWidth="1"/>
    <col min="13578" max="13578" width="15.140625" customWidth="1"/>
    <col min="13579" max="13579" width="15.5703125" customWidth="1"/>
    <col min="13580" max="13580" width="17.42578125" customWidth="1"/>
    <col min="13581" max="13582" width="15.42578125" customWidth="1"/>
    <col min="13584" max="13584" width="20.28515625" customWidth="1"/>
    <col min="13585" max="13585" width="6.42578125" customWidth="1"/>
    <col min="13586" max="13587" width="15.5703125" bestFit="1" customWidth="1"/>
    <col min="13588" max="13588" width="15.5703125" customWidth="1"/>
    <col min="13589" max="13589" width="17.5703125" customWidth="1"/>
    <col min="13590" max="13590" width="16.28515625" bestFit="1" customWidth="1"/>
    <col min="13593" max="13593" width="9.28515625" bestFit="1" customWidth="1"/>
    <col min="13825" max="13825" width="19.140625" customWidth="1"/>
    <col min="13826" max="13826" width="12.140625" bestFit="1" customWidth="1"/>
    <col min="13827" max="13827" width="15.5703125" bestFit="1" customWidth="1"/>
    <col min="13828" max="13828" width="15.140625" customWidth="1"/>
    <col min="13829" max="13829" width="16" customWidth="1"/>
    <col min="13830" max="13830" width="15.5703125" customWidth="1"/>
    <col min="13831" max="13831" width="15.42578125" customWidth="1"/>
    <col min="13832" max="13832" width="18.5703125" customWidth="1"/>
    <col min="13833" max="13833" width="16.42578125" customWidth="1"/>
    <col min="13834" max="13834" width="15.140625" customWidth="1"/>
    <col min="13835" max="13835" width="15.5703125" customWidth="1"/>
    <col min="13836" max="13836" width="17.42578125" customWidth="1"/>
    <col min="13837" max="13838" width="15.42578125" customWidth="1"/>
    <col min="13840" max="13840" width="20.28515625" customWidth="1"/>
    <col min="13841" max="13841" width="6.42578125" customWidth="1"/>
    <col min="13842" max="13843" width="15.5703125" bestFit="1" customWidth="1"/>
    <col min="13844" max="13844" width="15.5703125" customWidth="1"/>
    <col min="13845" max="13845" width="17.5703125" customWidth="1"/>
    <col min="13846" max="13846" width="16.28515625" bestFit="1" customWidth="1"/>
    <col min="13849" max="13849" width="9.28515625" bestFit="1" customWidth="1"/>
    <col min="14081" max="14081" width="19.140625" customWidth="1"/>
    <col min="14082" max="14082" width="12.140625" bestFit="1" customWidth="1"/>
    <col min="14083" max="14083" width="15.5703125" bestFit="1" customWidth="1"/>
    <col min="14084" max="14084" width="15.140625" customWidth="1"/>
    <col min="14085" max="14085" width="16" customWidth="1"/>
    <col min="14086" max="14086" width="15.5703125" customWidth="1"/>
    <col min="14087" max="14087" width="15.42578125" customWidth="1"/>
    <col min="14088" max="14088" width="18.5703125" customWidth="1"/>
    <col min="14089" max="14089" width="16.42578125" customWidth="1"/>
    <col min="14090" max="14090" width="15.140625" customWidth="1"/>
    <col min="14091" max="14091" width="15.5703125" customWidth="1"/>
    <col min="14092" max="14092" width="17.42578125" customWidth="1"/>
    <col min="14093" max="14094" width="15.42578125" customWidth="1"/>
    <col min="14096" max="14096" width="20.28515625" customWidth="1"/>
    <col min="14097" max="14097" width="6.42578125" customWidth="1"/>
    <col min="14098" max="14099" width="15.5703125" bestFit="1" customWidth="1"/>
    <col min="14100" max="14100" width="15.5703125" customWidth="1"/>
    <col min="14101" max="14101" width="17.5703125" customWidth="1"/>
    <col min="14102" max="14102" width="16.28515625" bestFit="1" customWidth="1"/>
    <col min="14105" max="14105" width="9.28515625" bestFit="1" customWidth="1"/>
    <col min="14337" max="14337" width="19.140625" customWidth="1"/>
    <col min="14338" max="14338" width="12.140625" bestFit="1" customWidth="1"/>
    <col min="14339" max="14339" width="15.5703125" bestFit="1" customWidth="1"/>
    <col min="14340" max="14340" width="15.140625" customWidth="1"/>
    <col min="14341" max="14341" width="16" customWidth="1"/>
    <col min="14342" max="14342" width="15.5703125" customWidth="1"/>
    <col min="14343" max="14343" width="15.42578125" customWidth="1"/>
    <col min="14344" max="14344" width="18.5703125" customWidth="1"/>
    <col min="14345" max="14345" width="16.42578125" customWidth="1"/>
    <col min="14346" max="14346" width="15.140625" customWidth="1"/>
    <col min="14347" max="14347" width="15.5703125" customWidth="1"/>
    <col min="14348" max="14348" width="17.42578125" customWidth="1"/>
    <col min="14349" max="14350" width="15.42578125" customWidth="1"/>
    <col min="14352" max="14352" width="20.28515625" customWidth="1"/>
    <col min="14353" max="14353" width="6.42578125" customWidth="1"/>
    <col min="14354" max="14355" width="15.5703125" bestFit="1" customWidth="1"/>
    <col min="14356" max="14356" width="15.5703125" customWidth="1"/>
    <col min="14357" max="14357" width="17.5703125" customWidth="1"/>
    <col min="14358" max="14358" width="16.28515625" bestFit="1" customWidth="1"/>
    <col min="14361" max="14361" width="9.28515625" bestFit="1" customWidth="1"/>
    <col min="14593" max="14593" width="19.140625" customWidth="1"/>
    <col min="14594" max="14594" width="12.140625" bestFit="1" customWidth="1"/>
    <col min="14595" max="14595" width="15.5703125" bestFit="1" customWidth="1"/>
    <col min="14596" max="14596" width="15.140625" customWidth="1"/>
    <col min="14597" max="14597" width="16" customWidth="1"/>
    <col min="14598" max="14598" width="15.5703125" customWidth="1"/>
    <col min="14599" max="14599" width="15.42578125" customWidth="1"/>
    <col min="14600" max="14600" width="18.5703125" customWidth="1"/>
    <col min="14601" max="14601" width="16.42578125" customWidth="1"/>
    <col min="14602" max="14602" width="15.140625" customWidth="1"/>
    <col min="14603" max="14603" width="15.5703125" customWidth="1"/>
    <col min="14604" max="14604" width="17.42578125" customWidth="1"/>
    <col min="14605" max="14606" width="15.42578125" customWidth="1"/>
    <col min="14608" max="14608" width="20.28515625" customWidth="1"/>
    <col min="14609" max="14609" width="6.42578125" customWidth="1"/>
    <col min="14610" max="14611" width="15.5703125" bestFit="1" customWidth="1"/>
    <col min="14612" max="14612" width="15.5703125" customWidth="1"/>
    <col min="14613" max="14613" width="17.5703125" customWidth="1"/>
    <col min="14614" max="14614" width="16.28515625" bestFit="1" customWidth="1"/>
    <col min="14617" max="14617" width="9.28515625" bestFit="1" customWidth="1"/>
    <col min="14849" max="14849" width="19.140625" customWidth="1"/>
    <col min="14850" max="14850" width="12.140625" bestFit="1" customWidth="1"/>
    <col min="14851" max="14851" width="15.5703125" bestFit="1" customWidth="1"/>
    <col min="14852" max="14852" width="15.140625" customWidth="1"/>
    <col min="14853" max="14853" width="16" customWidth="1"/>
    <col min="14854" max="14854" width="15.5703125" customWidth="1"/>
    <col min="14855" max="14855" width="15.42578125" customWidth="1"/>
    <col min="14856" max="14856" width="18.5703125" customWidth="1"/>
    <col min="14857" max="14857" width="16.42578125" customWidth="1"/>
    <col min="14858" max="14858" width="15.140625" customWidth="1"/>
    <col min="14859" max="14859" width="15.5703125" customWidth="1"/>
    <col min="14860" max="14860" width="17.42578125" customWidth="1"/>
    <col min="14861" max="14862" width="15.42578125" customWidth="1"/>
    <col min="14864" max="14864" width="20.28515625" customWidth="1"/>
    <col min="14865" max="14865" width="6.42578125" customWidth="1"/>
    <col min="14866" max="14867" width="15.5703125" bestFit="1" customWidth="1"/>
    <col min="14868" max="14868" width="15.5703125" customWidth="1"/>
    <col min="14869" max="14869" width="17.5703125" customWidth="1"/>
    <col min="14870" max="14870" width="16.28515625" bestFit="1" customWidth="1"/>
    <col min="14873" max="14873" width="9.28515625" bestFit="1" customWidth="1"/>
    <col min="15105" max="15105" width="19.140625" customWidth="1"/>
    <col min="15106" max="15106" width="12.140625" bestFit="1" customWidth="1"/>
    <col min="15107" max="15107" width="15.5703125" bestFit="1" customWidth="1"/>
    <col min="15108" max="15108" width="15.140625" customWidth="1"/>
    <col min="15109" max="15109" width="16" customWidth="1"/>
    <col min="15110" max="15110" width="15.5703125" customWidth="1"/>
    <col min="15111" max="15111" width="15.42578125" customWidth="1"/>
    <col min="15112" max="15112" width="18.5703125" customWidth="1"/>
    <col min="15113" max="15113" width="16.42578125" customWidth="1"/>
    <col min="15114" max="15114" width="15.140625" customWidth="1"/>
    <col min="15115" max="15115" width="15.5703125" customWidth="1"/>
    <col min="15116" max="15116" width="17.42578125" customWidth="1"/>
    <col min="15117" max="15118" width="15.42578125" customWidth="1"/>
    <col min="15120" max="15120" width="20.28515625" customWidth="1"/>
    <col min="15121" max="15121" width="6.42578125" customWidth="1"/>
    <col min="15122" max="15123" width="15.5703125" bestFit="1" customWidth="1"/>
    <col min="15124" max="15124" width="15.5703125" customWidth="1"/>
    <col min="15125" max="15125" width="17.5703125" customWidth="1"/>
    <col min="15126" max="15126" width="16.28515625" bestFit="1" customWidth="1"/>
    <col min="15129" max="15129" width="9.28515625" bestFit="1" customWidth="1"/>
    <col min="15361" max="15361" width="19.140625" customWidth="1"/>
    <col min="15362" max="15362" width="12.140625" bestFit="1" customWidth="1"/>
    <col min="15363" max="15363" width="15.5703125" bestFit="1" customWidth="1"/>
    <col min="15364" max="15364" width="15.140625" customWidth="1"/>
    <col min="15365" max="15365" width="16" customWidth="1"/>
    <col min="15366" max="15366" width="15.5703125" customWidth="1"/>
    <col min="15367" max="15367" width="15.42578125" customWidth="1"/>
    <col min="15368" max="15368" width="18.5703125" customWidth="1"/>
    <col min="15369" max="15369" width="16.42578125" customWidth="1"/>
    <col min="15370" max="15370" width="15.140625" customWidth="1"/>
    <col min="15371" max="15371" width="15.5703125" customWidth="1"/>
    <col min="15372" max="15372" width="17.42578125" customWidth="1"/>
    <col min="15373" max="15374" width="15.42578125" customWidth="1"/>
    <col min="15376" max="15376" width="20.28515625" customWidth="1"/>
    <col min="15377" max="15377" width="6.42578125" customWidth="1"/>
    <col min="15378" max="15379" width="15.5703125" bestFit="1" customWidth="1"/>
    <col min="15380" max="15380" width="15.5703125" customWidth="1"/>
    <col min="15381" max="15381" width="17.5703125" customWidth="1"/>
    <col min="15382" max="15382" width="16.28515625" bestFit="1" customWidth="1"/>
    <col min="15385" max="15385" width="9.28515625" bestFit="1" customWidth="1"/>
    <col min="15617" max="15617" width="19.140625" customWidth="1"/>
    <col min="15618" max="15618" width="12.140625" bestFit="1" customWidth="1"/>
    <col min="15619" max="15619" width="15.5703125" bestFit="1" customWidth="1"/>
    <col min="15620" max="15620" width="15.140625" customWidth="1"/>
    <col min="15621" max="15621" width="16" customWidth="1"/>
    <col min="15622" max="15622" width="15.5703125" customWidth="1"/>
    <col min="15623" max="15623" width="15.42578125" customWidth="1"/>
    <col min="15624" max="15624" width="18.5703125" customWidth="1"/>
    <col min="15625" max="15625" width="16.42578125" customWidth="1"/>
    <col min="15626" max="15626" width="15.140625" customWidth="1"/>
    <col min="15627" max="15627" width="15.5703125" customWidth="1"/>
    <col min="15628" max="15628" width="17.42578125" customWidth="1"/>
    <col min="15629" max="15630" width="15.42578125" customWidth="1"/>
    <col min="15632" max="15632" width="20.28515625" customWidth="1"/>
    <col min="15633" max="15633" width="6.42578125" customWidth="1"/>
    <col min="15634" max="15635" width="15.5703125" bestFit="1" customWidth="1"/>
    <col min="15636" max="15636" width="15.5703125" customWidth="1"/>
    <col min="15637" max="15637" width="17.5703125" customWidth="1"/>
    <col min="15638" max="15638" width="16.28515625" bestFit="1" customWidth="1"/>
    <col min="15641" max="15641" width="9.28515625" bestFit="1" customWidth="1"/>
    <col min="15873" max="15873" width="19.140625" customWidth="1"/>
    <col min="15874" max="15874" width="12.140625" bestFit="1" customWidth="1"/>
    <col min="15875" max="15875" width="15.5703125" bestFit="1" customWidth="1"/>
    <col min="15876" max="15876" width="15.140625" customWidth="1"/>
    <col min="15877" max="15877" width="16" customWidth="1"/>
    <col min="15878" max="15878" width="15.5703125" customWidth="1"/>
    <col min="15879" max="15879" width="15.42578125" customWidth="1"/>
    <col min="15880" max="15880" width="18.5703125" customWidth="1"/>
    <col min="15881" max="15881" width="16.42578125" customWidth="1"/>
    <col min="15882" max="15882" width="15.140625" customWidth="1"/>
    <col min="15883" max="15883" width="15.5703125" customWidth="1"/>
    <col min="15884" max="15884" width="17.42578125" customWidth="1"/>
    <col min="15885" max="15886" width="15.42578125" customWidth="1"/>
    <col min="15888" max="15888" width="20.28515625" customWidth="1"/>
    <col min="15889" max="15889" width="6.42578125" customWidth="1"/>
    <col min="15890" max="15891" width="15.5703125" bestFit="1" customWidth="1"/>
    <col min="15892" max="15892" width="15.5703125" customWidth="1"/>
    <col min="15893" max="15893" width="17.5703125" customWidth="1"/>
    <col min="15894" max="15894" width="16.28515625" bestFit="1" customWidth="1"/>
    <col min="15897" max="15897" width="9.28515625" bestFit="1" customWidth="1"/>
    <col min="16129" max="16129" width="19.140625" customWidth="1"/>
    <col min="16130" max="16130" width="12.140625" bestFit="1" customWidth="1"/>
    <col min="16131" max="16131" width="15.5703125" bestFit="1" customWidth="1"/>
    <col min="16132" max="16132" width="15.140625" customWidth="1"/>
    <col min="16133" max="16133" width="16" customWidth="1"/>
    <col min="16134" max="16134" width="15.5703125" customWidth="1"/>
    <col min="16135" max="16135" width="15.42578125" customWidth="1"/>
    <col min="16136" max="16136" width="18.5703125" customWidth="1"/>
    <col min="16137" max="16137" width="16.42578125" customWidth="1"/>
    <col min="16138" max="16138" width="15.140625" customWidth="1"/>
    <col min="16139" max="16139" width="15.5703125" customWidth="1"/>
    <col min="16140" max="16140" width="17.42578125" customWidth="1"/>
    <col min="16141" max="16142" width="15.42578125" customWidth="1"/>
    <col min="16144" max="16144" width="20.28515625" customWidth="1"/>
    <col min="16145" max="16145" width="6.42578125" customWidth="1"/>
    <col min="16146" max="16147" width="15.5703125" bestFit="1" customWidth="1"/>
    <col min="16148" max="16148" width="15.5703125" customWidth="1"/>
    <col min="16149" max="16149" width="17.5703125" customWidth="1"/>
    <col min="16150" max="16150" width="16.28515625" bestFit="1" customWidth="1"/>
    <col min="16153" max="16153" width="9.28515625" bestFit="1" customWidth="1"/>
  </cols>
  <sheetData>
    <row r="1" spans="1:24" s="148" customFormat="1" ht="12.75">
      <c r="A1" s="146"/>
      <c r="B1" s="147"/>
      <c r="D1" s="146"/>
      <c r="E1" s="146"/>
      <c r="F1" s="146"/>
      <c r="G1" s="149"/>
      <c r="H1" s="149"/>
      <c r="J1" s="55"/>
      <c r="Q1" s="147"/>
      <c r="S1" s="146"/>
      <c r="T1" s="146"/>
      <c r="U1" s="146"/>
      <c r="V1" s="149"/>
    </row>
    <row r="2" spans="1:24" s="148" customFormat="1" ht="12.75">
      <c r="A2" s="146"/>
      <c r="B2" s="146"/>
      <c r="D2" s="146"/>
      <c r="E2" s="147"/>
      <c r="F2" s="146"/>
      <c r="G2" s="149"/>
      <c r="H2" s="149"/>
      <c r="I2" s="149"/>
      <c r="J2" s="56"/>
      <c r="K2" s="149"/>
      <c r="L2" s="176"/>
      <c r="M2" s="176"/>
      <c r="N2" s="176"/>
      <c r="P2" s="146"/>
      <c r="Q2" s="146"/>
      <c r="S2" s="146"/>
      <c r="T2" s="147"/>
      <c r="U2" s="146"/>
      <c r="V2" s="149"/>
    </row>
    <row r="3" spans="1:24" s="148" customFormat="1" ht="12">
      <c r="A3" s="146"/>
      <c r="B3" s="146"/>
      <c r="D3" s="146"/>
      <c r="E3" s="146"/>
      <c r="F3" s="146"/>
      <c r="G3" s="149"/>
      <c r="J3" s="55"/>
      <c r="Q3" s="146"/>
      <c r="S3" s="146"/>
      <c r="T3" s="146"/>
      <c r="V3" s="149"/>
    </row>
    <row r="4" spans="1:24" ht="12" customHeight="1"/>
    <row r="5" spans="1:24">
      <c r="A5" s="98" t="s">
        <v>244</v>
      </c>
      <c r="C5" s="99"/>
      <c r="P5" s="98" t="s">
        <v>244</v>
      </c>
    </row>
    <row r="6" spans="1:24" ht="16.5" customHeight="1">
      <c r="G6" s="99"/>
      <c r="H6" s="99"/>
      <c r="L6" s="99"/>
      <c r="M6" s="99"/>
      <c r="N6" s="99"/>
    </row>
    <row r="7" spans="1:24">
      <c r="A7" s="98" t="s">
        <v>42</v>
      </c>
      <c r="P7" s="98" t="s">
        <v>42</v>
      </c>
      <c r="R7" s="100" t="s">
        <v>43</v>
      </c>
      <c r="S7" s="100" t="s">
        <v>44</v>
      </c>
      <c r="T7" s="100" t="s">
        <v>45</v>
      </c>
      <c r="U7" s="101" t="s">
        <v>46</v>
      </c>
      <c r="V7" s="101"/>
    </row>
    <row r="8" spans="1:24">
      <c r="A8" s="98" t="s">
        <v>47</v>
      </c>
      <c r="C8" s="102" t="s">
        <v>48</v>
      </c>
      <c r="D8" s="102" t="s">
        <v>49</v>
      </c>
      <c r="E8" s="102" t="s">
        <v>50</v>
      </c>
      <c r="F8" s="102" t="s">
        <v>51</v>
      </c>
      <c r="G8" s="102" t="s">
        <v>52</v>
      </c>
      <c r="H8" s="102" t="s">
        <v>53</v>
      </c>
      <c r="I8" s="102" t="s">
        <v>54</v>
      </c>
      <c r="J8" s="58" t="s">
        <v>55</v>
      </c>
      <c r="K8" s="102" t="s">
        <v>56</v>
      </c>
      <c r="L8" s="102" t="s">
        <v>57</v>
      </c>
      <c r="M8" s="102" t="s">
        <v>58</v>
      </c>
      <c r="N8" s="102" t="s">
        <v>59</v>
      </c>
      <c r="P8" s="98" t="s">
        <v>47</v>
      </c>
      <c r="R8" s="102" t="s">
        <v>60</v>
      </c>
      <c r="S8" s="102" t="s">
        <v>60</v>
      </c>
      <c r="T8" s="102" t="s">
        <v>60</v>
      </c>
      <c r="U8" s="102" t="s">
        <v>60</v>
      </c>
      <c r="V8" s="102" t="s">
        <v>61</v>
      </c>
      <c r="X8" s="102"/>
    </row>
    <row r="9" spans="1:24">
      <c r="A9" s="99"/>
      <c r="B9" s="99"/>
      <c r="C9" s="99"/>
      <c r="D9" s="99"/>
      <c r="E9" s="99"/>
      <c r="P9" s="99"/>
      <c r="Q9" s="99"/>
      <c r="R9" s="99"/>
      <c r="S9" s="99"/>
      <c r="T9" s="99"/>
    </row>
    <row r="10" spans="1:24">
      <c r="A10" t="s">
        <v>62</v>
      </c>
      <c r="B10" s="100" t="s">
        <v>63</v>
      </c>
      <c r="C10" s="59">
        <f>3926+6</f>
        <v>3932</v>
      </c>
      <c r="D10" s="59">
        <f>7+3920</f>
        <v>3927</v>
      </c>
      <c r="E10" s="59">
        <f>3928+8</f>
        <v>3936</v>
      </c>
      <c r="F10" s="59">
        <f>3934+10</f>
        <v>3944</v>
      </c>
      <c r="G10" s="59">
        <f>3941+8</f>
        <v>3949</v>
      </c>
      <c r="H10" s="59">
        <f>8+3941</f>
        <v>3949</v>
      </c>
      <c r="I10" s="59">
        <f>9+3958</f>
        <v>3967</v>
      </c>
      <c r="J10" s="60">
        <f>3951+6</f>
        <v>3957</v>
      </c>
      <c r="K10" s="59">
        <f>3959+6</f>
        <v>3965</v>
      </c>
      <c r="L10" s="59">
        <v>3971</v>
      </c>
      <c r="M10" s="59">
        <f>4010+9</f>
        <v>4019</v>
      </c>
      <c r="N10" s="59">
        <f>4016+7</f>
        <v>4023</v>
      </c>
      <c r="P10" t="s">
        <v>62</v>
      </c>
      <c r="Q10" s="100" t="s">
        <v>63</v>
      </c>
      <c r="R10" s="61">
        <f>SUM(C10:E10)/3</f>
        <v>3931.6666666666665</v>
      </c>
      <c r="S10" s="61">
        <f>SUM(F10:H10)/3</f>
        <v>3947.3333333333335</v>
      </c>
      <c r="T10" s="61">
        <f>SUM(I10:K10)/3</f>
        <v>3963</v>
      </c>
      <c r="U10" s="61">
        <f>SUM(L10:N10)/3</f>
        <v>4004.3333333333335</v>
      </c>
      <c r="V10" s="61">
        <f>IF(COUNT(C10:N10)=0,0,SUM(C10:N10)/COUNT(C10:N10))</f>
        <v>3961.5833333333335</v>
      </c>
      <c r="X10" s="62"/>
    </row>
    <row r="11" spans="1:24">
      <c r="A11" t="s">
        <v>64</v>
      </c>
      <c r="B11" s="100" t="s">
        <v>65</v>
      </c>
      <c r="C11" s="59">
        <f>682+3</f>
        <v>685</v>
      </c>
      <c r="D11" s="59">
        <f>682+4</f>
        <v>686</v>
      </c>
      <c r="E11" s="59">
        <f>681+4</f>
        <v>685</v>
      </c>
      <c r="F11" s="59">
        <f>687+3</f>
        <v>690</v>
      </c>
      <c r="G11" s="59">
        <f>683+3</f>
        <v>686</v>
      </c>
      <c r="H11" s="59">
        <f>684+3</f>
        <v>687</v>
      </c>
      <c r="I11" s="59">
        <f>681+3</f>
        <v>684</v>
      </c>
      <c r="J11" s="60">
        <f>684+3</f>
        <v>687</v>
      </c>
      <c r="K11" s="59">
        <f>685+4</f>
        <v>689</v>
      </c>
      <c r="L11" s="59">
        <f>684+2</f>
        <v>686</v>
      </c>
      <c r="M11" s="59">
        <f>686+3</f>
        <v>689</v>
      </c>
      <c r="N11" s="59">
        <f>687+3</f>
        <v>690</v>
      </c>
      <c r="P11" t="s">
        <v>64</v>
      </c>
      <c r="Q11" s="100" t="s">
        <v>65</v>
      </c>
      <c r="R11" s="61">
        <f>SUM(C11:E11)/3</f>
        <v>685.33333333333337</v>
      </c>
      <c r="S11" s="61">
        <f>SUM(F11:H11)/3</f>
        <v>687.66666666666663</v>
      </c>
      <c r="T11" s="61">
        <f>SUM(I11:K11)/3</f>
        <v>686.66666666666663</v>
      </c>
      <c r="U11" s="61">
        <f>SUM(L11:N11)/3</f>
        <v>688.33333333333337</v>
      </c>
      <c r="V11" s="61">
        <f t="shared" ref="V11:V21" si="0">IF(COUNT(C11:N11)=0,0,SUM(C11:N11)/COUNT(C11:N11))</f>
        <v>687</v>
      </c>
      <c r="X11" s="62"/>
    </row>
    <row r="12" spans="1:24">
      <c r="A12" t="s">
        <v>66</v>
      </c>
      <c r="B12" s="100" t="s">
        <v>67</v>
      </c>
      <c r="C12" s="59">
        <v>9</v>
      </c>
      <c r="D12" s="59">
        <v>9</v>
      </c>
      <c r="E12" s="59">
        <v>9</v>
      </c>
      <c r="F12" s="59">
        <v>9</v>
      </c>
      <c r="G12" s="59">
        <v>9</v>
      </c>
      <c r="H12" s="59">
        <v>9</v>
      </c>
      <c r="I12" s="59">
        <v>9</v>
      </c>
      <c r="J12" s="60">
        <v>9</v>
      </c>
      <c r="K12" s="59">
        <v>9</v>
      </c>
      <c r="L12" s="59">
        <v>9</v>
      </c>
      <c r="M12" s="59">
        <v>9</v>
      </c>
      <c r="N12" s="59">
        <v>9</v>
      </c>
      <c r="P12" t="s">
        <v>66</v>
      </c>
      <c r="Q12" s="100" t="s">
        <v>67</v>
      </c>
      <c r="R12" s="61">
        <f>SUM(C12:E12)/3</f>
        <v>9</v>
      </c>
      <c r="S12" s="61">
        <f>SUM(F12:H12)/3</f>
        <v>9</v>
      </c>
      <c r="T12" s="61">
        <f>SUM(I12:K12)/3</f>
        <v>9</v>
      </c>
      <c r="U12" s="61">
        <f>SUM(L12:N12)/3</f>
        <v>9</v>
      </c>
      <c r="V12" s="61">
        <f t="shared" si="0"/>
        <v>9</v>
      </c>
      <c r="X12" s="62"/>
    </row>
    <row r="13" spans="1:24">
      <c r="A13" t="s">
        <v>68</v>
      </c>
      <c r="B13" s="100" t="s">
        <v>69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59">
        <v>0</v>
      </c>
      <c r="L13" s="59">
        <v>0</v>
      </c>
      <c r="M13" s="59">
        <v>0</v>
      </c>
      <c r="N13" s="59">
        <v>0</v>
      </c>
      <c r="P13" t="s">
        <v>68</v>
      </c>
      <c r="Q13" s="100" t="s">
        <v>69</v>
      </c>
      <c r="R13" s="61">
        <f t="shared" ref="R13:R23" si="1">SUM(C13:E13)/3</f>
        <v>0</v>
      </c>
      <c r="S13" s="61">
        <f t="shared" ref="S13:S23" si="2">SUM(F13:H13)/3</f>
        <v>0</v>
      </c>
      <c r="T13" s="61">
        <f t="shared" ref="T13:T23" si="3">SUM(I13:K13)/3</f>
        <v>0</v>
      </c>
      <c r="U13" s="61">
        <f t="shared" ref="U13:U23" si="4">SUM(L13:N13)/3</f>
        <v>0</v>
      </c>
      <c r="V13" s="61">
        <f t="shared" si="0"/>
        <v>0</v>
      </c>
      <c r="X13" s="62"/>
    </row>
    <row r="14" spans="1:24">
      <c r="A14" t="s">
        <v>70</v>
      </c>
      <c r="B14" s="100" t="s">
        <v>71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0</v>
      </c>
      <c r="L14" s="59">
        <v>0</v>
      </c>
      <c r="M14" s="59">
        <v>0</v>
      </c>
      <c r="N14" s="59">
        <v>0</v>
      </c>
      <c r="P14" t="s">
        <v>70</v>
      </c>
      <c r="Q14" s="100" t="s">
        <v>71</v>
      </c>
      <c r="R14" s="61">
        <f t="shared" si="1"/>
        <v>0</v>
      </c>
      <c r="S14" s="61">
        <f t="shared" si="2"/>
        <v>0</v>
      </c>
      <c r="T14" s="61">
        <f t="shared" si="3"/>
        <v>0</v>
      </c>
      <c r="U14" s="61">
        <f t="shared" si="4"/>
        <v>0</v>
      </c>
      <c r="V14" s="61">
        <f t="shared" si="0"/>
        <v>0</v>
      </c>
      <c r="X14" s="62"/>
    </row>
    <row r="15" spans="1:24">
      <c r="A15" t="s">
        <v>72</v>
      </c>
      <c r="B15" s="100"/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0</v>
      </c>
      <c r="L15" s="59">
        <v>0</v>
      </c>
      <c r="M15" s="59">
        <v>0</v>
      </c>
      <c r="N15" s="59">
        <v>0</v>
      </c>
      <c r="P15" t="s">
        <v>72</v>
      </c>
      <c r="Q15" s="100"/>
      <c r="R15" s="61">
        <f>SUM(C15:E15)/3</f>
        <v>0</v>
      </c>
      <c r="S15" s="61">
        <f>SUM(F15:H15)/3</f>
        <v>0</v>
      </c>
      <c r="T15" s="61">
        <f>SUM(I15:K15)/3</f>
        <v>0</v>
      </c>
      <c r="U15" s="61">
        <f>SUM(L15:N15)/3</f>
        <v>0</v>
      </c>
      <c r="V15" s="61">
        <f>IF(COUNT(C15:N15)=0,0,SUM(C15:N15)/COUNT(C15:N15))</f>
        <v>0</v>
      </c>
      <c r="X15" s="62"/>
    </row>
    <row r="16" spans="1:24">
      <c r="A16" t="s">
        <v>73</v>
      </c>
      <c r="B16" s="100" t="s">
        <v>74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59">
        <v>0</v>
      </c>
      <c r="L16" s="59">
        <v>0</v>
      </c>
      <c r="M16" s="59">
        <v>0</v>
      </c>
      <c r="N16" s="59">
        <v>0</v>
      </c>
      <c r="P16" t="s">
        <v>73</v>
      </c>
      <c r="Q16" s="100" t="s">
        <v>74</v>
      </c>
      <c r="R16" s="61">
        <f t="shared" si="1"/>
        <v>0</v>
      </c>
      <c r="S16" s="61">
        <f t="shared" si="2"/>
        <v>0</v>
      </c>
      <c r="T16" s="61">
        <f t="shared" si="3"/>
        <v>0</v>
      </c>
      <c r="U16" s="61">
        <f t="shared" si="4"/>
        <v>0</v>
      </c>
      <c r="V16" s="61">
        <f t="shared" si="0"/>
        <v>0</v>
      </c>
      <c r="X16" s="62"/>
    </row>
    <row r="17" spans="1:24">
      <c r="A17" t="s">
        <v>75</v>
      </c>
      <c r="B17" s="100" t="s">
        <v>76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59">
        <v>0</v>
      </c>
      <c r="L17" s="59">
        <v>0</v>
      </c>
      <c r="M17" s="59">
        <v>0</v>
      </c>
      <c r="N17" s="59">
        <v>0</v>
      </c>
      <c r="P17" t="s">
        <v>75</v>
      </c>
      <c r="Q17" s="100" t="s">
        <v>76</v>
      </c>
      <c r="R17" s="61">
        <f t="shared" si="1"/>
        <v>0</v>
      </c>
      <c r="S17" s="61">
        <f t="shared" si="2"/>
        <v>0</v>
      </c>
      <c r="T17" s="61">
        <f t="shared" si="3"/>
        <v>0</v>
      </c>
      <c r="U17" s="61">
        <f t="shared" si="4"/>
        <v>0</v>
      </c>
      <c r="V17" s="61">
        <f t="shared" si="0"/>
        <v>0</v>
      </c>
      <c r="X17" s="62"/>
    </row>
    <row r="18" spans="1:24">
      <c r="A18" t="s">
        <v>77</v>
      </c>
      <c r="B18" s="100" t="s">
        <v>78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59">
        <v>0</v>
      </c>
      <c r="L18" s="59">
        <v>0</v>
      </c>
      <c r="M18" s="59">
        <v>0</v>
      </c>
      <c r="N18" s="59">
        <v>0</v>
      </c>
      <c r="P18" t="s">
        <v>77</v>
      </c>
      <c r="Q18" s="100" t="s">
        <v>78</v>
      </c>
      <c r="R18" s="61">
        <f t="shared" si="1"/>
        <v>0</v>
      </c>
      <c r="S18" s="61">
        <f t="shared" si="2"/>
        <v>0</v>
      </c>
      <c r="T18" s="61">
        <f t="shared" si="3"/>
        <v>0</v>
      </c>
      <c r="U18" s="61">
        <f t="shared" si="4"/>
        <v>0</v>
      </c>
      <c r="V18" s="61">
        <f t="shared" si="0"/>
        <v>0</v>
      </c>
      <c r="X18" s="62"/>
    </row>
    <row r="19" spans="1:24">
      <c r="A19" t="s">
        <v>79</v>
      </c>
      <c r="B19" s="100" t="s">
        <v>80</v>
      </c>
      <c r="C19" s="59">
        <v>30</v>
      </c>
      <c r="D19" s="59">
        <v>30</v>
      </c>
      <c r="E19" s="59">
        <v>30</v>
      </c>
      <c r="F19" s="59">
        <v>30</v>
      </c>
      <c r="G19" s="59">
        <v>30</v>
      </c>
      <c r="H19" s="59">
        <v>30</v>
      </c>
      <c r="I19" s="59">
        <v>30</v>
      </c>
      <c r="J19" s="60">
        <v>30</v>
      </c>
      <c r="K19" s="59">
        <v>30</v>
      </c>
      <c r="L19" s="59">
        <v>30</v>
      </c>
      <c r="M19" s="59">
        <v>30</v>
      </c>
      <c r="N19" s="59">
        <v>30</v>
      </c>
      <c r="P19" t="s">
        <v>79</v>
      </c>
      <c r="Q19" s="100" t="s">
        <v>80</v>
      </c>
      <c r="R19" s="61">
        <f t="shared" si="1"/>
        <v>30</v>
      </c>
      <c r="S19" s="61">
        <f t="shared" si="2"/>
        <v>30</v>
      </c>
      <c r="T19" s="61">
        <f t="shared" si="3"/>
        <v>30</v>
      </c>
      <c r="U19" s="61">
        <f t="shared" si="4"/>
        <v>30</v>
      </c>
      <c r="V19" s="61">
        <f t="shared" si="0"/>
        <v>30</v>
      </c>
      <c r="X19" s="62"/>
    </row>
    <row r="20" spans="1:24">
      <c r="A20" t="s">
        <v>81</v>
      </c>
      <c r="B20" s="100" t="s">
        <v>82</v>
      </c>
      <c r="C20" s="59">
        <f>55+27</f>
        <v>82</v>
      </c>
      <c r="D20" s="59">
        <f>55+27</f>
        <v>82</v>
      </c>
      <c r="E20" s="59">
        <f>55+27</f>
        <v>82</v>
      </c>
      <c r="F20" s="59">
        <f>55+27</f>
        <v>82</v>
      </c>
      <c r="G20" s="59">
        <f>56+27</f>
        <v>83</v>
      </c>
      <c r="H20" s="59">
        <f>27+56</f>
        <v>83</v>
      </c>
      <c r="I20" s="59">
        <f t="shared" ref="I20:N20" si="5">56+27</f>
        <v>83</v>
      </c>
      <c r="J20" s="60">
        <f t="shared" si="5"/>
        <v>83</v>
      </c>
      <c r="K20" s="59">
        <f t="shared" si="5"/>
        <v>83</v>
      </c>
      <c r="L20" s="59">
        <f t="shared" si="5"/>
        <v>83</v>
      </c>
      <c r="M20" s="59">
        <f t="shared" si="5"/>
        <v>83</v>
      </c>
      <c r="N20" s="59">
        <f t="shared" si="5"/>
        <v>83</v>
      </c>
      <c r="P20" t="s">
        <v>81</v>
      </c>
      <c r="Q20" s="100" t="s">
        <v>82</v>
      </c>
      <c r="R20" s="61">
        <f t="shared" si="1"/>
        <v>82</v>
      </c>
      <c r="S20" s="61">
        <f t="shared" si="2"/>
        <v>82.666666666666671</v>
      </c>
      <c r="T20" s="61">
        <f t="shared" si="3"/>
        <v>83</v>
      </c>
      <c r="U20" s="61">
        <f t="shared" si="4"/>
        <v>83</v>
      </c>
      <c r="V20" s="61">
        <f t="shared" si="0"/>
        <v>82.666666666666671</v>
      </c>
      <c r="X20" s="62"/>
    </row>
    <row r="21" spans="1:24">
      <c r="A21" t="s">
        <v>83</v>
      </c>
      <c r="B21" s="100" t="s">
        <v>84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4">
        <v>0</v>
      </c>
      <c r="K21" s="63">
        <v>0</v>
      </c>
      <c r="L21" s="63">
        <v>0</v>
      </c>
      <c r="M21" s="63">
        <v>0</v>
      </c>
      <c r="N21" s="63">
        <v>0</v>
      </c>
      <c r="P21" t="s">
        <v>83</v>
      </c>
      <c r="Q21" s="100" t="s">
        <v>84</v>
      </c>
      <c r="R21" s="65">
        <f t="shared" si="1"/>
        <v>0</v>
      </c>
      <c r="S21" s="65">
        <f t="shared" si="2"/>
        <v>0</v>
      </c>
      <c r="T21" s="65">
        <f t="shared" si="3"/>
        <v>0</v>
      </c>
      <c r="U21" s="65">
        <f t="shared" si="4"/>
        <v>0</v>
      </c>
      <c r="V21" s="65">
        <f t="shared" si="0"/>
        <v>0</v>
      </c>
      <c r="X21" s="62"/>
    </row>
    <row r="22" spans="1:24">
      <c r="A22" s="103" t="s">
        <v>85</v>
      </c>
      <c r="C22" s="104">
        <f>SUM(C10:C21)</f>
        <v>4738</v>
      </c>
      <c r="D22" s="104">
        <f>SUM(D10:D21)</f>
        <v>4734</v>
      </c>
      <c r="E22" s="104">
        <f t="shared" ref="E22:N22" si="6">SUM(E10:E21)</f>
        <v>4742</v>
      </c>
      <c r="F22" s="104">
        <f t="shared" si="6"/>
        <v>4755</v>
      </c>
      <c r="G22" s="104">
        <f t="shared" si="6"/>
        <v>4757</v>
      </c>
      <c r="H22" s="104">
        <f t="shared" si="6"/>
        <v>4758</v>
      </c>
      <c r="I22" s="104">
        <f t="shared" si="6"/>
        <v>4773</v>
      </c>
      <c r="J22" s="57">
        <f t="shared" si="6"/>
        <v>4766</v>
      </c>
      <c r="K22" s="104">
        <f t="shared" si="6"/>
        <v>4776</v>
      </c>
      <c r="L22" s="104">
        <f t="shared" si="6"/>
        <v>4779</v>
      </c>
      <c r="M22" s="104">
        <f t="shared" si="6"/>
        <v>4830</v>
      </c>
      <c r="N22" s="104">
        <f t="shared" si="6"/>
        <v>4835</v>
      </c>
      <c r="O22" s="105"/>
      <c r="P22" s="106" t="s">
        <v>85</v>
      </c>
      <c r="R22" s="61">
        <f t="shared" si="1"/>
        <v>4738</v>
      </c>
      <c r="S22" s="61">
        <f t="shared" si="2"/>
        <v>4756.666666666667</v>
      </c>
      <c r="T22" s="61">
        <f t="shared" si="3"/>
        <v>4771.666666666667</v>
      </c>
      <c r="U22" s="61">
        <f t="shared" si="4"/>
        <v>4814.666666666667</v>
      </c>
      <c r="V22" s="104">
        <f>SUM(V10:V21)</f>
        <v>4770.2500000000009</v>
      </c>
      <c r="X22" s="62"/>
    </row>
    <row r="23" spans="1:24" ht="15.75" thickBot="1">
      <c r="A23" s="103" t="s">
        <v>86</v>
      </c>
      <c r="C23" s="107">
        <f t="shared" ref="C23:N23" si="7">SUM(C10:C14)+SUM(C19:C21)</f>
        <v>4738</v>
      </c>
      <c r="D23" s="107">
        <f t="shared" si="7"/>
        <v>4734</v>
      </c>
      <c r="E23" s="107">
        <f t="shared" si="7"/>
        <v>4742</v>
      </c>
      <c r="F23" s="107">
        <f t="shared" si="7"/>
        <v>4755</v>
      </c>
      <c r="G23" s="107">
        <f t="shared" si="7"/>
        <v>4757</v>
      </c>
      <c r="H23" s="107">
        <f t="shared" si="7"/>
        <v>4758</v>
      </c>
      <c r="I23" s="107">
        <f t="shared" si="7"/>
        <v>4773</v>
      </c>
      <c r="J23" s="66">
        <f t="shared" si="7"/>
        <v>4766</v>
      </c>
      <c r="K23" s="107">
        <f t="shared" si="7"/>
        <v>4776</v>
      </c>
      <c r="L23" s="107">
        <f t="shared" si="7"/>
        <v>4779</v>
      </c>
      <c r="M23" s="107">
        <f t="shared" si="7"/>
        <v>4830</v>
      </c>
      <c r="N23" s="107">
        <f t="shared" si="7"/>
        <v>4835</v>
      </c>
      <c r="P23" s="106" t="s">
        <v>86</v>
      </c>
      <c r="R23" s="67">
        <f t="shared" si="1"/>
        <v>4738</v>
      </c>
      <c r="S23" s="67">
        <f t="shared" si="2"/>
        <v>4756.666666666667</v>
      </c>
      <c r="T23" s="67">
        <f t="shared" si="3"/>
        <v>4771.666666666667</v>
      </c>
      <c r="U23" s="67">
        <f t="shared" si="4"/>
        <v>4814.666666666667</v>
      </c>
      <c r="V23" s="107">
        <f>SUM(V10:V14)+SUM(V19:V21)</f>
        <v>4770.2500000000009</v>
      </c>
      <c r="X23" s="62"/>
    </row>
    <row r="24" spans="1:24" ht="15.75" thickTop="1">
      <c r="A24" s="106"/>
      <c r="C24" s="108"/>
      <c r="D24" s="108"/>
      <c r="E24" s="108"/>
      <c r="F24" s="108"/>
      <c r="G24" s="108"/>
      <c r="H24" s="108"/>
      <c r="I24" s="108"/>
      <c r="J24" s="68"/>
      <c r="K24" s="108"/>
      <c r="L24" s="108"/>
      <c r="M24" s="108"/>
      <c r="N24" s="108"/>
      <c r="P24" s="106"/>
      <c r="R24" s="61"/>
      <c r="S24" s="61"/>
      <c r="T24" s="61"/>
      <c r="U24" s="61"/>
      <c r="V24" s="104"/>
      <c r="X24" s="62"/>
    </row>
    <row r="25" spans="1:24">
      <c r="A25" s="106"/>
      <c r="C25" s="108"/>
      <c r="D25" s="108"/>
      <c r="E25" s="108"/>
      <c r="F25" s="108"/>
      <c r="G25" s="108"/>
      <c r="H25" s="108"/>
      <c r="I25" s="108"/>
      <c r="J25" s="68"/>
      <c r="K25" s="108"/>
      <c r="L25" s="108"/>
      <c r="M25" s="108"/>
      <c r="N25" s="108"/>
      <c r="P25" s="106"/>
      <c r="R25" s="61"/>
      <c r="S25" s="61"/>
      <c r="T25" s="61"/>
      <c r="U25" s="61"/>
      <c r="V25" s="104"/>
      <c r="X25" s="62"/>
    </row>
    <row r="26" spans="1:24">
      <c r="A26" s="106"/>
      <c r="C26" s="108"/>
      <c r="D26" s="108"/>
      <c r="E26" s="108"/>
      <c r="F26" s="108"/>
      <c r="G26" s="108"/>
      <c r="H26" s="108"/>
      <c r="I26" s="108"/>
      <c r="J26" s="68"/>
      <c r="K26" s="108"/>
      <c r="L26" s="108"/>
      <c r="M26" s="108"/>
      <c r="N26" s="108"/>
      <c r="P26" s="106"/>
      <c r="R26" s="61"/>
      <c r="S26" s="61"/>
      <c r="T26" s="61"/>
      <c r="U26" s="61"/>
      <c r="V26" s="104"/>
      <c r="X26" s="62"/>
    </row>
    <row r="27" spans="1:24">
      <c r="C27" s="104"/>
      <c r="D27" s="104"/>
      <c r="E27" s="104"/>
      <c r="F27" s="104"/>
      <c r="G27" s="104"/>
      <c r="H27" s="104"/>
      <c r="I27" s="104"/>
      <c r="K27" s="104"/>
      <c r="L27" s="104"/>
      <c r="M27" s="104"/>
      <c r="N27" s="104"/>
      <c r="R27" s="61"/>
      <c r="S27" s="61"/>
      <c r="T27" s="61"/>
      <c r="U27" s="61"/>
      <c r="V27" s="61"/>
    </row>
    <row r="28" spans="1:24">
      <c r="A28" s="98" t="s">
        <v>87</v>
      </c>
      <c r="C28" s="104"/>
      <c r="D28" s="104"/>
      <c r="E28" s="104"/>
      <c r="F28" s="104"/>
      <c r="G28" s="104"/>
      <c r="H28" s="104"/>
      <c r="I28" s="104"/>
      <c r="K28" s="104"/>
      <c r="L28" s="104"/>
      <c r="M28" s="104"/>
      <c r="N28" s="104"/>
      <c r="P28" s="98" t="s">
        <v>87</v>
      </c>
      <c r="R28" s="61"/>
      <c r="S28" s="61"/>
      <c r="T28" s="61"/>
      <c r="U28" s="61"/>
      <c r="V28" s="61"/>
    </row>
    <row r="29" spans="1:24">
      <c r="A29" t="s">
        <v>62</v>
      </c>
      <c r="B29" s="100" t="s">
        <v>63</v>
      </c>
      <c r="C29" s="104">
        <v>4383638</v>
      </c>
      <c r="D29" s="104">
        <v>3119500</v>
      </c>
      <c r="E29" s="104">
        <v>3663324</v>
      </c>
      <c r="F29" s="104">
        <v>2730529</v>
      </c>
      <c r="G29" s="104">
        <v>2847255</v>
      </c>
      <c r="H29" s="104">
        <v>3375097</v>
      </c>
      <c r="I29" s="104">
        <v>4691443</v>
      </c>
      <c r="J29" s="57">
        <v>4733699</v>
      </c>
      <c r="K29" s="104">
        <v>4098115</v>
      </c>
      <c r="L29" s="104">
        <v>3627150</v>
      </c>
      <c r="M29" s="104">
        <v>2560742</v>
      </c>
      <c r="N29" s="108">
        <v>3882744</v>
      </c>
      <c r="P29" t="s">
        <v>62</v>
      </c>
      <c r="Q29" s="100" t="s">
        <v>63</v>
      </c>
      <c r="R29" s="61">
        <f>SUM(C29:E29)</f>
        <v>11166462</v>
      </c>
      <c r="S29" s="61">
        <f>SUM(F29:H29)</f>
        <v>8952881</v>
      </c>
      <c r="T29" s="61">
        <f>SUM(I29:K29)</f>
        <v>13523257</v>
      </c>
      <c r="U29" s="61">
        <f>SUM(L29:N29)</f>
        <v>10070636</v>
      </c>
      <c r="V29" s="61">
        <f>SUM(C29:N29)</f>
        <v>43713236</v>
      </c>
      <c r="X29" s="62"/>
    </row>
    <row r="30" spans="1:24">
      <c r="A30" t="s">
        <v>64</v>
      </c>
      <c r="B30" s="100" t="s">
        <v>65</v>
      </c>
      <c r="C30" s="104">
        <v>2592577</v>
      </c>
      <c r="D30" s="104">
        <v>1713986</v>
      </c>
      <c r="E30" s="104">
        <v>2303115</v>
      </c>
      <c r="F30" s="104">
        <v>2182253</v>
      </c>
      <c r="G30" s="104">
        <v>3123559</v>
      </c>
      <c r="H30" s="104">
        <v>2881337</v>
      </c>
      <c r="I30" s="104">
        <v>3410271</v>
      </c>
      <c r="J30" s="57">
        <v>3364039</v>
      </c>
      <c r="K30" s="104">
        <v>3430452</v>
      </c>
      <c r="L30" s="104">
        <v>2839426</v>
      </c>
      <c r="M30" s="104">
        <v>2472564</v>
      </c>
      <c r="N30" s="108">
        <v>2267416</v>
      </c>
      <c r="P30" t="s">
        <v>64</v>
      </c>
      <c r="Q30" s="100" t="s">
        <v>65</v>
      </c>
      <c r="R30" s="61">
        <f t="shared" ref="R30:R46" si="8">SUM(C30:E30)</f>
        <v>6609678</v>
      </c>
      <c r="S30" s="61">
        <f t="shared" ref="S30:S46" si="9">SUM(F30:H30)</f>
        <v>8187149</v>
      </c>
      <c r="T30" s="61">
        <f t="shared" ref="T30:T46" si="10">SUM(I30:K30)</f>
        <v>10204762</v>
      </c>
      <c r="U30" s="61">
        <f t="shared" ref="U30:U46" si="11">SUM(L30:N30)</f>
        <v>7579406</v>
      </c>
      <c r="V30" s="61">
        <f t="shared" ref="V30:V46" si="12">SUM(C30:N30)</f>
        <v>32580995</v>
      </c>
      <c r="X30" s="62"/>
    </row>
    <row r="31" spans="1:24">
      <c r="A31" t="s">
        <v>66</v>
      </c>
      <c r="B31" s="100" t="s">
        <v>67</v>
      </c>
      <c r="C31" s="104">
        <v>6825023</v>
      </c>
      <c r="D31" s="104">
        <v>6213421</v>
      </c>
      <c r="E31" s="104">
        <v>6941135</v>
      </c>
      <c r="F31" s="104">
        <v>7525092</v>
      </c>
      <c r="G31" s="104">
        <v>8534685</v>
      </c>
      <c r="H31" s="104">
        <v>8017058</v>
      </c>
      <c r="I31" s="104">
        <v>8991235</v>
      </c>
      <c r="J31" s="57">
        <v>8624836</v>
      </c>
      <c r="K31" s="104">
        <v>8868419</v>
      </c>
      <c r="L31" s="104">
        <v>8573057</v>
      </c>
      <c r="M31" s="104">
        <v>5744579</v>
      </c>
      <c r="N31" s="104">
        <v>5927364</v>
      </c>
      <c r="P31" t="s">
        <v>66</v>
      </c>
      <c r="Q31" s="100" t="s">
        <v>67</v>
      </c>
      <c r="R31" s="61">
        <f t="shared" si="8"/>
        <v>19979579</v>
      </c>
      <c r="S31" s="61">
        <f t="shared" si="9"/>
        <v>24076835</v>
      </c>
      <c r="T31" s="61">
        <f t="shared" si="10"/>
        <v>26484490</v>
      </c>
      <c r="U31" s="61">
        <f t="shared" si="11"/>
        <v>20245000</v>
      </c>
      <c r="V31" s="61">
        <f t="shared" si="12"/>
        <v>90785904</v>
      </c>
      <c r="X31" s="62"/>
    </row>
    <row r="32" spans="1:24">
      <c r="A32" t="s">
        <v>68</v>
      </c>
      <c r="B32" s="100" t="s">
        <v>69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60">
        <v>0</v>
      </c>
      <c r="K32" s="109">
        <v>0</v>
      </c>
      <c r="L32" s="109">
        <v>0</v>
      </c>
      <c r="M32" s="109">
        <v>0</v>
      </c>
      <c r="N32" s="110">
        <v>0</v>
      </c>
      <c r="P32" t="s">
        <v>68</v>
      </c>
      <c r="Q32" s="100" t="s">
        <v>69</v>
      </c>
      <c r="R32" s="61">
        <f t="shared" si="8"/>
        <v>0</v>
      </c>
      <c r="S32" s="61">
        <f t="shared" si="9"/>
        <v>0</v>
      </c>
      <c r="T32" s="61">
        <f t="shared" si="10"/>
        <v>0</v>
      </c>
      <c r="U32" s="61">
        <f t="shared" si="11"/>
        <v>0</v>
      </c>
      <c r="V32" s="61">
        <f t="shared" si="12"/>
        <v>0</v>
      </c>
      <c r="X32" s="62"/>
    </row>
    <row r="33" spans="1:24">
      <c r="A33" t="s">
        <v>70</v>
      </c>
      <c r="B33" s="100" t="s">
        <v>71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60">
        <v>0</v>
      </c>
      <c r="K33" s="109">
        <v>0</v>
      </c>
      <c r="L33" s="109">
        <v>0</v>
      </c>
      <c r="M33" s="109">
        <v>0</v>
      </c>
      <c r="N33" s="109">
        <v>0</v>
      </c>
      <c r="P33" t="s">
        <v>70</v>
      </c>
      <c r="Q33" s="100" t="s">
        <v>71</v>
      </c>
      <c r="R33" s="61">
        <f t="shared" si="8"/>
        <v>0</v>
      </c>
      <c r="S33" s="61">
        <f t="shared" si="9"/>
        <v>0</v>
      </c>
      <c r="T33" s="61">
        <f t="shared" si="10"/>
        <v>0</v>
      </c>
      <c r="U33" s="61">
        <f t="shared" si="11"/>
        <v>0</v>
      </c>
      <c r="V33" s="61">
        <f t="shared" si="12"/>
        <v>0</v>
      </c>
      <c r="X33" s="62"/>
    </row>
    <row r="34" spans="1:24">
      <c r="A34" s="111" t="s">
        <v>88</v>
      </c>
      <c r="B34" s="100"/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109">
        <v>0</v>
      </c>
      <c r="J34" s="60">
        <v>0</v>
      </c>
      <c r="K34" s="109">
        <v>0</v>
      </c>
      <c r="L34" s="109">
        <v>0</v>
      </c>
      <c r="M34" s="109">
        <v>0</v>
      </c>
      <c r="N34" s="109">
        <v>0</v>
      </c>
      <c r="O34" s="112"/>
      <c r="P34" t="s">
        <v>72</v>
      </c>
      <c r="Q34" s="100"/>
      <c r="R34" s="61">
        <f>SUM(C34:E34)</f>
        <v>0</v>
      </c>
      <c r="S34" s="61">
        <f>SUM(F34:H34)</f>
        <v>0</v>
      </c>
      <c r="T34" s="61">
        <f>SUM(I34:K34)</f>
        <v>0</v>
      </c>
      <c r="U34" s="61">
        <f>SUM(L34:N34)</f>
        <v>0</v>
      </c>
      <c r="V34" s="61">
        <f>SUM(C34:N34)</f>
        <v>0</v>
      </c>
      <c r="X34" s="62"/>
    </row>
    <row r="35" spans="1:24">
      <c r="A35" t="s">
        <v>73</v>
      </c>
      <c r="B35" s="100" t="s">
        <v>74</v>
      </c>
      <c r="C35" s="109">
        <v>0</v>
      </c>
      <c r="D35" s="109">
        <v>0</v>
      </c>
      <c r="E35" s="109">
        <v>0</v>
      </c>
      <c r="F35" s="109">
        <v>0</v>
      </c>
      <c r="G35" s="109">
        <v>0</v>
      </c>
      <c r="H35" s="109">
        <v>0</v>
      </c>
      <c r="I35" s="109">
        <v>0</v>
      </c>
      <c r="J35" s="60">
        <v>0</v>
      </c>
      <c r="K35" s="109">
        <v>0</v>
      </c>
      <c r="L35" s="109">
        <v>0</v>
      </c>
      <c r="M35" s="109">
        <v>0</v>
      </c>
      <c r="N35" s="109">
        <v>0</v>
      </c>
      <c r="O35" s="112"/>
      <c r="P35" t="s">
        <v>73</v>
      </c>
      <c r="Q35" s="100" t="s">
        <v>74</v>
      </c>
      <c r="R35" s="61">
        <f t="shared" si="8"/>
        <v>0</v>
      </c>
      <c r="S35" s="61">
        <f t="shared" si="9"/>
        <v>0</v>
      </c>
      <c r="T35" s="61">
        <f t="shared" si="10"/>
        <v>0</v>
      </c>
      <c r="U35" s="61">
        <f t="shared" si="11"/>
        <v>0</v>
      </c>
      <c r="V35" s="61">
        <f t="shared" si="12"/>
        <v>0</v>
      </c>
      <c r="X35" s="62"/>
    </row>
    <row r="36" spans="1:24">
      <c r="A36" t="s">
        <v>75</v>
      </c>
      <c r="B36" s="100" t="s">
        <v>76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0</v>
      </c>
      <c r="J36" s="60">
        <v>0</v>
      </c>
      <c r="K36" s="109">
        <v>0</v>
      </c>
      <c r="L36" s="109">
        <v>0</v>
      </c>
      <c r="M36" s="109">
        <v>0</v>
      </c>
      <c r="N36" s="109">
        <v>0</v>
      </c>
      <c r="P36" t="s">
        <v>75</v>
      </c>
      <c r="Q36" s="100" t="s">
        <v>76</v>
      </c>
      <c r="R36" s="61">
        <f t="shared" si="8"/>
        <v>0</v>
      </c>
      <c r="S36" s="61">
        <f t="shared" si="9"/>
        <v>0</v>
      </c>
      <c r="T36" s="61">
        <f t="shared" si="10"/>
        <v>0</v>
      </c>
      <c r="U36" s="61">
        <f t="shared" si="11"/>
        <v>0</v>
      </c>
      <c r="V36" s="61">
        <f t="shared" si="12"/>
        <v>0</v>
      </c>
      <c r="X36" s="62"/>
    </row>
    <row r="37" spans="1:24">
      <c r="A37" t="s">
        <v>77</v>
      </c>
      <c r="B37" s="100" t="s">
        <v>78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60">
        <v>0</v>
      </c>
      <c r="K37" s="109">
        <v>0</v>
      </c>
      <c r="L37" s="109">
        <v>0</v>
      </c>
      <c r="M37" s="109">
        <v>0</v>
      </c>
      <c r="N37" s="110">
        <v>0</v>
      </c>
      <c r="P37" t="s">
        <v>77</v>
      </c>
      <c r="Q37" s="100" t="s">
        <v>78</v>
      </c>
      <c r="R37" s="61">
        <f t="shared" si="8"/>
        <v>0</v>
      </c>
      <c r="S37" s="61">
        <f t="shared" si="9"/>
        <v>0</v>
      </c>
      <c r="T37" s="61">
        <f t="shared" si="10"/>
        <v>0</v>
      </c>
      <c r="U37" s="61">
        <f t="shared" si="11"/>
        <v>0</v>
      </c>
      <c r="V37" s="61">
        <f t="shared" si="12"/>
        <v>0</v>
      </c>
      <c r="X37" s="62"/>
    </row>
    <row r="38" spans="1:24">
      <c r="A38" t="s">
        <v>79</v>
      </c>
      <c r="B38" s="100" t="s">
        <v>80</v>
      </c>
      <c r="C38" s="104">
        <v>75847.694999999992</v>
      </c>
      <c r="D38" s="104">
        <v>66611.73000000001</v>
      </c>
      <c r="E38" s="104">
        <v>65610</v>
      </c>
      <c r="F38" s="104">
        <v>58604</v>
      </c>
      <c r="G38" s="104">
        <v>55365</v>
      </c>
      <c r="H38" s="104">
        <v>56201</v>
      </c>
      <c r="I38" s="104">
        <v>63136</v>
      </c>
      <c r="J38" s="57">
        <v>67909</v>
      </c>
      <c r="K38" s="104">
        <v>69112</v>
      </c>
      <c r="L38" s="104">
        <v>69215</v>
      </c>
      <c r="M38" s="104">
        <v>75026</v>
      </c>
      <c r="N38" s="108">
        <v>79379</v>
      </c>
      <c r="P38" t="s">
        <v>79</v>
      </c>
      <c r="Q38" s="100" t="s">
        <v>80</v>
      </c>
      <c r="R38" s="61">
        <f t="shared" si="8"/>
        <v>208069.42499999999</v>
      </c>
      <c r="S38" s="61">
        <f t="shared" si="9"/>
        <v>170170</v>
      </c>
      <c r="T38" s="61">
        <f t="shared" si="10"/>
        <v>200157</v>
      </c>
      <c r="U38" s="61">
        <f t="shared" si="11"/>
        <v>223620</v>
      </c>
      <c r="V38" s="61">
        <f t="shared" si="12"/>
        <v>802016.42500000005</v>
      </c>
      <c r="X38" s="62"/>
    </row>
    <row r="39" spans="1:24">
      <c r="A39" t="s">
        <v>81</v>
      </c>
      <c r="B39" s="100" t="s">
        <v>82</v>
      </c>
      <c r="C39" s="104">
        <v>486350</v>
      </c>
      <c r="D39" s="104">
        <v>558992</v>
      </c>
      <c r="E39" s="104">
        <v>634273</v>
      </c>
      <c r="F39" s="104">
        <v>619967</v>
      </c>
      <c r="G39" s="104">
        <v>637729</v>
      </c>
      <c r="H39" s="104">
        <v>644189</v>
      </c>
      <c r="I39" s="104">
        <v>692175</v>
      </c>
      <c r="J39" s="57">
        <v>669121</v>
      </c>
      <c r="K39" s="104">
        <v>736062</v>
      </c>
      <c r="L39" s="104">
        <v>765189</v>
      </c>
      <c r="M39" s="104">
        <v>451767</v>
      </c>
      <c r="N39" s="108">
        <v>682543</v>
      </c>
      <c r="P39" t="s">
        <v>81</v>
      </c>
      <c r="Q39" s="100" t="s">
        <v>82</v>
      </c>
      <c r="R39" s="61">
        <f t="shared" si="8"/>
        <v>1679615</v>
      </c>
      <c r="S39" s="61">
        <f t="shared" si="9"/>
        <v>1901885</v>
      </c>
      <c r="T39" s="61">
        <f t="shared" si="10"/>
        <v>2097358</v>
      </c>
      <c r="U39" s="61">
        <f t="shared" si="11"/>
        <v>1899499</v>
      </c>
      <c r="V39" s="61">
        <f t="shared" si="12"/>
        <v>7578357</v>
      </c>
      <c r="X39" s="62"/>
    </row>
    <row r="40" spans="1:24">
      <c r="A40" t="s">
        <v>83</v>
      </c>
      <c r="B40" s="100" t="s">
        <v>84</v>
      </c>
      <c r="C40" s="113">
        <v>0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64">
        <v>0</v>
      </c>
      <c r="K40" s="113">
        <v>0</v>
      </c>
      <c r="L40" s="113">
        <v>0</v>
      </c>
      <c r="M40" s="113">
        <v>0</v>
      </c>
      <c r="N40" s="113">
        <v>0</v>
      </c>
      <c r="P40" t="s">
        <v>83</v>
      </c>
      <c r="Q40" s="100" t="s">
        <v>84</v>
      </c>
      <c r="R40" s="65">
        <f t="shared" si="8"/>
        <v>0</v>
      </c>
      <c r="S40" s="65">
        <f t="shared" si="9"/>
        <v>0</v>
      </c>
      <c r="T40" s="65">
        <f t="shared" si="10"/>
        <v>0</v>
      </c>
      <c r="U40" s="65">
        <f t="shared" si="11"/>
        <v>0</v>
      </c>
      <c r="V40" s="65">
        <f t="shared" si="12"/>
        <v>0</v>
      </c>
      <c r="X40" s="62"/>
    </row>
    <row r="41" spans="1:24">
      <c r="A41" s="103" t="s">
        <v>85</v>
      </c>
      <c r="C41" s="104">
        <f>SUM(C29:C40)</f>
        <v>14363435.695</v>
      </c>
      <c r="D41" s="104">
        <f>SUM(D29:D40)</f>
        <v>11672510.73</v>
      </c>
      <c r="E41" s="104">
        <f t="shared" ref="E41:N41" si="13">SUM(E29:E40)</f>
        <v>13607457</v>
      </c>
      <c r="F41" s="104">
        <f t="shared" si="13"/>
        <v>13116445</v>
      </c>
      <c r="G41" s="104">
        <f t="shared" si="13"/>
        <v>15198593</v>
      </c>
      <c r="H41" s="104">
        <f>SUM(H29:H40)</f>
        <v>14973882</v>
      </c>
      <c r="I41" s="104">
        <f t="shared" si="13"/>
        <v>17848260</v>
      </c>
      <c r="J41" s="57">
        <f t="shared" si="13"/>
        <v>17459604</v>
      </c>
      <c r="K41" s="104">
        <f t="shared" si="13"/>
        <v>17202160</v>
      </c>
      <c r="L41" s="108">
        <f t="shared" si="13"/>
        <v>15874037</v>
      </c>
      <c r="M41" s="108">
        <f t="shared" si="13"/>
        <v>11304678</v>
      </c>
      <c r="N41" s="108">
        <f t="shared" si="13"/>
        <v>12839446</v>
      </c>
      <c r="P41" s="106" t="s">
        <v>85</v>
      </c>
      <c r="R41" s="61">
        <f>SUM(C41:E41)</f>
        <v>39643403.424999997</v>
      </c>
      <c r="S41" s="61">
        <f t="shared" si="9"/>
        <v>43288920</v>
      </c>
      <c r="T41" s="61">
        <f t="shared" si="10"/>
        <v>52510024</v>
      </c>
      <c r="U41" s="61">
        <f t="shared" si="11"/>
        <v>40018161</v>
      </c>
      <c r="V41" s="61">
        <f t="shared" si="12"/>
        <v>175460508.42500001</v>
      </c>
      <c r="X41" s="62"/>
    </row>
    <row r="42" spans="1:24" ht="15.75" thickBot="1">
      <c r="A42" s="103" t="s">
        <v>86</v>
      </c>
      <c r="C42" s="107">
        <f t="shared" ref="C42:N42" si="14">SUM(C29:C33)+SUM(C38:C40)</f>
        <v>14363435.695</v>
      </c>
      <c r="D42" s="107">
        <f>SUM(D29:D33)+SUM(D38:D40)</f>
        <v>11672510.73</v>
      </c>
      <c r="E42" s="107">
        <f t="shared" si="14"/>
        <v>13607457</v>
      </c>
      <c r="F42" s="107">
        <f t="shared" si="14"/>
        <v>13116445</v>
      </c>
      <c r="G42" s="107">
        <f t="shared" si="14"/>
        <v>15198593</v>
      </c>
      <c r="H42" s="107">
        <f>SUM(H29:H33)+SUM(H38:H40)</f>
        <v>14973882</v>
      </c>
      <c r="I42" s="107">
        <f t="shared" si="14"/>
        <v>17848260</v>
      </c>
      <c r="J42" s="66">
        <f t="shared" si="14"/>
        <v>17459604</v>
      </c>
      <c r="K42" s="107">
        <f t="shared" si="14"/>
        <v>17202160</v>
      </c>
      <c r="L42" s="107">
        <f t="shared" si="14"/>
        <v>15874037</v>
      </c>
      <c r="M42" s="107">
        <f t="shared" si="14"/>
        <v>11304678</v>
      </c>
      <c r="N42" s="107">
        <f t="shared" si="14"/>
        <v>12839446</v>
      </c>
      <c r="P42" s="106" t="s">
        <v>86</v>
      </c>
      <c r="R42" s="67">
        <f t="shared" si="8"/>
        <v>39643403.424999997</v>
      </c>
      <c r="S42" s="67">
        <f t="shared" si="9"/>
        <v>43288920</v>
      </c>
      <c r="T42" s="67">
        <f t="shared" si="10"/>
        <v>52510024</v>
      </c>
      <c r="U42" s="67">
        <f t="shared" si="11"/>
        <v>40018161</v>
      </c>
      <c r="V42" s="67">
        <f t="shared" si="12"/>
        <v>175460508.42500001</v>
      </c>
      <c r="X42" s="62"/>
    </row>
    <row r="43" spans="1:24" ht="15.75" thickTop="1">
      <c r="A43" s="106"/>
      <c r="C43" s="104"/>
      <c r="D43" s="104"/>
      <c r="E43" s="104"/>
      <c r="F43" s="104"/>
      <c r="G43" s="104"/>
      <c r="H43" s="104"/>
      <c r="I43" s="104"/>
      <c r="K43" s="104"/>
      <c r="L43" s="108"/>
      <c r="M43" s="108"/>
      <c r="N43" s="108"/>
      <c r="P43" s="106"/>
      <c r="R43" s="61"/>
      <c r="S43" s="61"/>
      <c r="T43" s="61"/>
      <c r="U43" s="61"/>
      <c r="V43" s="61"/>
      <c r="X43" s="62"/>
    </row>
    <row r="44" spans="1:24">
      <c r="A44" t="s">
        <v>89</v>
      </c>
      <c r="B44" t="s">
        <v>90</v>
      </c>
      <c r="C44" s="104">
        <v>471247</v>
      </c>
      <c r="D44" s="104">
        <v>-531990</v>
      </c>
      <c r="E44" s="104">
        <v>-246195</v>
      </c>
      <c r="F44" s="104">
        <v>-313107</v>
      </c>
      <c r="G44" s="104">
        <v>257655</v>
      </c>
      <c r="H44" s="104">
        <v>395404</v>
      </c>
      <c r="I44" s="104">
        <v>617695</v>
      </c>
      <c r="J44" s="57">
        <v>89814</v>
      </c>
      <c r="K44" s="104">
        <v>-453618</v>
      </c>
      <c r="L44" s="108">
        <v>-281729</v>
      </c>
      <c r="M44" s="108">
        <v>-199336</v>
      </c>
      <c r="N44" s="108">
        <v>257057</v>
      </c>
      <c r="P44" t="s">
        <v>91</v>
      </c>
      <c r="Q44" t="s">
        <v>90</v>
      </c>
      <c r="R44" s="61">
        <f t="shared" si="8"/>
        <v>-306938</v>
      </c>
      <c r="S44" s="61">
        <f t="shared" si="9"/>
        <v>339952</v>
      </c>
      <c r="T44" s="61">
        <f t="shared" si="10"/>
        <v>253891</v>
      </c>
      <c r="U44" s="61">
        <f t="shared" si="11"/>
        <v>-224008</v>
      </c>
      <c r="V44" s="61">
        <f t="shared" si="12"/>
        <v>62897</v>
      </c>
      <c r="X44" s="62"/>
    </row>
    <row r="45" spans="1:24">
      <c r="A45" s="106"/>
      <c r="B45" t="s">
        <v>92</v>
      </c>
      <c r="C45" s="104">
        <v>228844</v>
      </c>
      <c r="D45" s="104">
        <v>-370683</v>
      </c>
      <c r="E45" s="104">
        <v>-89724</v>
      </c>
      <c r="F45" s="104">
        <v>-72800</v>
      </c>
      <c r="G45" s="104">
        <v>508303</v>
      </c>
      <c r="H45" s="104">
        <v>216991</v>
      </c>
      <c r="I45" s="104">
        <v>277733</v>
      </c>
      <c r="J45" s="57">
        <v>-21890</v>
      </c>
      <c r="K45" s="104">
        <v>-203902</v>
      </c>
      <c r="L45" s="108">
        <v>-241027</v>
      </c>
      <c r="M45" s="108">
        <v>-7930</v>
      </c>
      <c r="N45" s="108">
        <v>-143987</v>
      </c>
      <c r="P45" s="106" t="s">
        <v>93</v>
      </c>
      <c r="Q45" t="s">
        <v>92</v>
      </c>
      <c r="R45" s="61">
        <f t="shared" si="8"/>
        <v>-231563</v>
      </c>
      <c r="S45" s="61">
        <f t="shared" si="9"/>
        <v>652494</v>
      </c>
      <c r="T45" s="61">
        <f t="shared" si="10"/>
        <v>51941</v>
      </c>
      <c r="U45" s="61">
        <f t="shared" si="11"/>
        <v>-392944</v>
      </c>
      <c r="V45" s="61">
        <f t="shared" si="12"/>
        <v>79928</v>
      </c>
      <c r="X45" s="62"/>
    </row>
    <row r="46" spans="1:24">
      <c r="B46" t="s">
        <v>94</v>
      </c>
      <c r="C46" s="104">
        <v>-310687</v>
      </c>
      <c r="D46" s="104">
        <v>-209729</v>
      </c>
      <c r="E46" s="104">
        <v>-81018</v>
      </c>
      <c r="F46" s="104">
        <v>-7229</v>
      </c>
      <c r="G46" s="104">
        <v>411966</v>
      </c>
      <c r="H46" s="104">
        <v>33720</v>
      </c>
      <c r="I46" s="104">
        <v>162954</v>
      </c>
      <c r="J46" s="57">
        <v>-109249</v>
      </c>
      <c r="K46" s="104">
        <v>-175261</v>
      </c>
      <c r="L46" s="108">
        <v>54590</v>
      </c>
      <c r="M46" s="108">
        <v>-417732</v>
      </c>
      <c r="N46" s="108">
        <v>-201048</v>
      </c>
      <c r="Q46" t="s">
        <v>94</v>
      </c>
      <c r="R46" s="61">
        <f t="shared" si="8"/>
        <v>-601434</v>
      </c>
      <c r="S46" s="61">
        <f t="shared" si="9"/>
        <v>438457</v>
      </c>
      <c r="T46" s="61">
        <f t="shared" si="10"/>
        <v>-121556</v>
      </c>
      <c r="U46" s="61">
        <f t="shared" si="11"/>
        <v>-564190</v>
      </c>
      <c r="V46" s="61">
        <f t="shared" si="12"/>
        <v>-848723</v>
      </c>
      <c r="X46" s="62"/>
    </row>
    <row r="47" spans="1:24">
      <c r="C47" s="104"/>
      <c r="D47" s="104"/>
      <c r="E47" s="104"/>
      <c r="F47" s="104"/>
      <c r="G47" s="104"/>
      <c r="H47" s="104"/>
      <c r="I47" s="104"/>
      <c r="K47" s="104"/>
      <c r="L47" s="108"/>
      <c r="M47" s="108"/>
      <c r="N47" s="108"/>
      <c r="R47" s="61"/>
      <c r="S47" s="61"/>
      <c r="T47" s="61"/>
      <c r="U47" s="61"/>
      <c r="V47" s="61"/>
      <c r="X47" s="62"/>
    </row>
    <row r="48" spans="1:24">
      <c r="C48" s="104"/>
      <c r="D48" s="104"/>
      <c r="E48" s="104"/>
      <c r="F48" s="104"/>
      <c r="G48" s="104"/>
      <c r="H48" s="104"/>
      <c r="I48" s="104"/>
      <c r="K48" s="104"/>
      <c r="L48" s="108"/>
      <c r="M48" s="108"/>
      <c r="N48" s="108"/>
      <c r="R48" s="61"/>
      <c r="S48" s="61"/>
      <c r="T48" s="61"/>
      <c r="U48" s="61"/>
      <c r="V48" s="61"/>
      <c r="X48" s="62"/>
    </row>
    <row r="49" spans="1:25">
      <c r="C49" s="104"/>
      <c r="D49" s="104"/>
      <c r="E49" s="104"/>
      <c r="F49" s="104"/>
      <c r="G49" s="104"/>
      <c r="H49" s="104"/>
      <c r="I49" s="104"/>
      <c r="K49" s="104"/>
      <c r="L49" s="108"/>
      <c r="M49" s="108"/>
      <c r="N49" s="108"/>
      <c r="R49" s="61"/>
      <c r="S49" s="61"/>
      <c r="T49" s="61"/>
      <c r="U49" s="61"/>
      <c r="V49" s="61"/>
      <c r="X49" s="62"/>
    </row>
    <row r="50" spans="1:25">
      <c r="C50" s="104"/>
      <c r="D50" s="104"/>
      <c r="E50" s="104"/>
      <c r="F50" s="104"/>
      <c r="G50" s="104"/>
      <c r="H50" s="104"/>
      <c r="I50" s="104"/>
      <c r="K50" s="104"/>
      <c r="L50" s="108"/>
      <c r="M50" s="108"/>
      <c r="N50" s="108"/>
    </row>
    <row r="51" spans="1:25">
      <c r="A51" s="98" t="s">
        <v>95</v>
      </c>
      <c r="C51" s="104"/>
      <c r="D51" s="104"/>
      <c r="E51" s="104"/>
      <c r="F51" s="104"/>
      <c r="G51" s="104"/>
      <c r="H51" s="104"/>
      <c r="I51" s="104"/>
      <c r="K51" s="104"/>
      <c r="L51" s="108"/>
      <c r="M51" s="108"/>
      <c r="N51" s="108"/>
      <c r="P51" s="98" t="s">
        <v>95</v>
      </c>
    </row>
    <row r="52" spans="1:25">
      <c r="A52" t="s">
        <v>62</v>
      </c>
      <c r="B52" s="100" t="s">
        <v>63</v>
      </c>
      <c r="C52" s="114">
        <v>507047.43</v>
      </c>
      <c r="D52" s="114">
        <v>363379.37000000005</v>
      </c>
      <c r="E52" s="114">
        <v>405189.31000000006</v>
      </c>
      <c r="F52" s="114">
        <v>325894.14000000007</v>
      </c>
      <c r="G52" s="114">
        <v>342302.20999999996</v>
      </c>
      <c r="H52" s="114">
        <v>405386.40000000008</v>
      </c>
      <c r="I52" s="114">
        <v>564040.5</v>
      </c>
      <c r="J52" s="69">
        <v>553734.12</v>
      </c>
      <c r="K52" s="114">
        <v>478060.41999999993</v>
      </c>
      <c r="L52" s="114">
        <v>424769.55000000005</v>
      </c>
      <c r="M52" s="115">
        <v>290766.67</v>
      </c>
      <c r="N52" s="115">
        <v>435389.43999999989</v>
      </c>
      <c r="P52" t="s">
        <v>62</v>
      </c>
      <c r="Q52" s="100" t="s">
        <v>63</v>
      </c>
      <c r="R52" s="70">
        <f t="shared" ref="R52:R69" si="15">SUM(C52:E52)</f>
        <v>1275616.1100000001</v>
      </c>
      <c r="S52" s="70">
        <f t="shared" ref="S52:S69" si="16">SUM(F52:H52)</f>
        <v>1073582.7500000002</v>
      </c>
      <c r="T52" s="70">
        <f t="shared" ref="T52:T69" si="17">SUM(I52:K52)</f>
        <v>1595835.04</v>
      </c>
      <c r="U52" s="70">
        <f t="shared" ref="U52:U69" si="18">SUM(L52:N52)</f>
        <v>1150925.6599999999</v>
      </c>
      <c r="V52" s="70">
        <f t="shared" ref="V52:V69" si="19">SUM(C52:N52)</f>
        <v>5095959.5599999996</v>
      </c>
      <c r="X52" s="62"/>
      <c r="Y52" s="62"/>
    </row>
    <row r="53" spans="1:25">
      <c r="A53" t="s">
        <v>64</v>
      </c>
      <c r="B53" s="100" t="s">
        <v>65</v>
      </c>
      <c r="C53" s="114">
        <v>237362.49</v>
      </c>
      <c r="D53" s="114">
        <v>164255.22999999998</v>
      </c>
      <c r="E53" s="114">
        <v>202668.62</v>
      </c>
      <c r="F53" s="114">
        <v>209993.53</v>
      </c>
      <c r="G53" s="114">
        <v>289801.45999999996</v>
      </c>
      <c r="H53" s="114">
        <v>283597.03999999992</v>
      </c>
      <c r="I53" s="114">
        <v>342657.56</v>
      </c>
      <c r="J53" s="69">
        <v>327074.86</v>
      </c>
      <c r="K53" s="114">
        <v>341455.9599999999</v>
      </c>
      <c r="L53" s="114">
        <v>262786.57999999996</v>
      </c>
      <c r="M53" s="115">
        <v>226347.13</v>
      </c>
      <c r="N53" s="115">
        <v>203044.03999999998</v>
      </c>
      <c r="P53" t="s">
        <v>64</v>
      </c>
      <c r="Q53" s="100" t="s">
        <v>65</v>
      </c>
      <c r="R53" s="70">
        <f t="shared" si="15"/>
        <v>604286.34</v>
      </c>
      <c r="S53" s="70">
        <f t="shared" si="16"/>
        <v>783392.02999999991</v>
      </c>
      <c r="T53" s="70">
        <f t="shared" si="17"/>
        <v>1011188.3799999999</v>
      </c>
      <c r="U53" s="70">
        <f t="shared" si="18"/>
        <v>692177.75</v>
      </c>
      <c r="V53" s="70">
        <f t="shared" si="19"/>
        <v>3091044.5</v>
      </c>
      <c r="X53" s="62"/>
      <c r="Y53" s="62"/>
    </row>
    <row r="54" spans="1:25">
      <c r="A54" t="s">
        <v>66</v>
      </c>
      <c r="B54" s="100" t="s">
        <v>67</v>
      </c>
      <c r="C54" s="114">
        <v>469333.54</v>
      </c>
      <c r="D54" s="114">
        <v>431982.68000000005</v>
      </c>
      <c r="E54" s="114">
        <v>463112.14999999991</v>
      </c>
      <c r="F54" s="114">
        <v>539428.15999999992</v>
      </c>
      <c r="G54" s="114">
        <v>606781.9600000002</v>
      </c>
      <c r="H54" s="114">
        <v>640257.58999999985</v>
      </c>
      <c r="I54" s="114">
        <v>723864.43</v>
      </c>
      <c r="J54" s="69">
        <v>700273.10000000009</v>
      </c>
      <c r="K54" s="114">
        <v>694195.55999999982</v>
      </c>
      <c r="L54" s="114">
        <v>614445.53999999992</v>
      </c>
      <c r="M54" s="114">
        <v>440630.73</v>
      </c>
      <c r="N54" s="114">
        <v>442630.83999999997</v>
      </c>
      <c r="P54" t="s">
        <v>66</v>
      </c>
      <c r="Q54" s="100" t="s">
        <v>67</v>
      </c>
      <c r="R54" s="70">
        <f t="shared" si="15"/>
        <v>1364428.3699999999</v>
      </c>
      <c r="S54" s="70">
        <f t="shared" si="16"/>
        <v>1786467.71</v>
      </c>
      <c r="T54" s="70">
        <f t="shared" si="17"/>
        <v>2118333.09</v>
      </c>
      <c r="U54" s="70">
        <f t="shared" si="18"/>
        <v>1497707.1099999999</v>
      </c>
      <c r="V54" s="70">
        <f t="shared" si="19"/>
        <v>6766936.2799999993</v>
      </c>
      <c r="X54" s="62"/>
      <c r="Y54" s="62"/>
    </row>
    <row r="55" spans="1:25">
      <c r="A55" t="s">
        <v>68</v>
      </c>
      <c r="B55" s="100" t="s">
        <v>69</v>
      </c>
      <c r="C55" s="116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71">
        <v>0</v>
      </c>
      <c r="K55" s="116">
        <v>0</v>
      </c>
      <c r="L55" s="116">
        <v>0</v>
      </c>
      <c r="M55" s="116">
        <v>0</v>
      </c>
      <c r="N55" s="116">
        <v>0</v>
      </c>
      <c r="P55" t="s">
        <v>68</v>
      </c>
      <c r="Q55" s="100" t="s">
        <v>69</v>
      </c>
      <c r="R55" s="70">
        <f t="shared" si="15"/>
        <v>0</v>
      </c>
      <c r="S55" s="70">
        <f t="shared" si="16"/>
        <v>0</v>
      </c>
      <c r="T55" s="70">
        <f t="shared" si="17"/>
        <v>0</v>
      </c>
      <c r="U55" s="70">
        <f t="shared" si="18"/>
        <v>0</v>
      </c>
      <c r="V55" s="70">
        <f t="shared" si="19"/>
        <v>0</v>
      </c>
      <c r="X55" s="62"/>
    </row>
    <row r="56" spans="1:25">
      <c r="A56" t="s">
        <v>70</v>
      </c>
      <c r="B56" s="100" t="s">
        <v>71</v>
      </c>
      <c r="C56" s="116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71">
        <v>0</v>
      </c>
      <c r="K56" s="116">
        <v>0</v>
      </c>
      <c r="L56" s="116">
        <v>0</v>
      </c>
      <c r="M56" s="116">
        <v>0</v>
      </c>
      <c r="N56" s="116">
        <v>0</v>
      </c>
      <c r="P56" t="s">
        <v>70</v>
      </c>
      <c r="Q56" s="100" t="s">
        <v>71</v>
      </c>
      <c r="R56" s="70">
        <f t="shared" si="15"/>
        <v>0</v>
      </c>
      <c r="S56" s="70">
        <f t="shared" si="16"/>
        <v>0</v>
      </c>
      <c r="T56" s="70">
        <f t="shared" si="17"/>
        <v>0</v>
      </c>
      <c r="U56" s="70">
        <f t="shared" si="18"/>
        <v>0</v>
      </c>
      <c r="V56" s="70">
        <f t="shared" si="19"/>
        <v>0</v>
      </c>
      <c r="X56" s="62"/>
    </row>
    <row r="57" spans="1:25">
      <c r="A57" s="111" t="s">
        <v>88</v>
      </c>
      <c r="B57" s="100"/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71">
        <v>0</v>
      </c>
      <c r="K57" s="116">
        <v>0</v>
      </c>
      <c r="L57" s="116">
        <v>0</v>
      </c>
      <c r="M57" s="116">
        <v>0</v>
      </c>
      <c r="N57" s="116">
        <v>0</v>
      </c>
      <c r="P57" t="s">
        <v>72</v>
      </c>
      <c r="Q57" s="100"/>
      <c r="R57" s="70">
        <f>SUM(C57:E57)</f>
        <v>0</v>
      </c>
      <c r="S57" s="70">
        <f>SUM(F57:H57)</f>
        <v>0</v>
      </c>
      <c r="T57" s="70">
        <f>SUM(I57:K57)</f>
        <v>0</v>
      </c>
      <c r="U57" s="70">
        <f>SUM(L57:N57)</f>
        <v>0</v>
      </c>
      <c r="V57" s="70">
        <f>SUM(C57:N57)</f>
        <v>0</v>
      </c>
      <c r="X57" s="62"/>
    </row>
    <row r="58" spans="1:25">
      <c r="A58" t="s">
        <v>73</v>
      </c>
      <c r="B58" s="100" t="s">
        <v>74</v>
      </c>
      <c r="C58" s="116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71">
        <v>0</v>
      </c>
      <c r="K58" s="116">
        <v>0</v>
      </c>
      <c r="L58" s="116">
        <v>0</v>
      </c>
      <c r="M58" s="116">
        <v>0</v>
      </c>
      <c r="N58" s="116">
        <v>0</v>
      </c>
      <c r="P58" t="s">
        <v>73</v>
      </c>
      <c r="Q58" s="100" t="s">
        <v>74</v>
      </c>
      <c r="R58" s="70">
        <f t="shared" si="15"/>
        <v>0</v>
      </c>
      <c r="S58" s="70">
        <f t="shared" si="16"/>
        <v>0</v>
      </c>
      <c r="T58" s="70">
        <f t="shared" si="17"/>
        <v>0</v>
      </c>
      <c r="U58" s="70">
        <f t="shared" si="18"/>
        <v>0</v>
      </c>
      <c r="V58" s="70">
        <f t="shared" si="19"/>
        <v>0</v>
      </c>
      <c r="X58" s="62"/>
    </row>
    <row r="59" spans="1:25">
      <c r="A59" t="s">
        <v>75</v>
      </c>
      <c r="B59" s="100" t="s">
        <v>76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71">
        <v>0</v>
      </c>
      <c r="K59" s="116">
        <v>0</v>
      </c>
      <c r="L59" s="116">
        <v>0</v>
      </c>
      <c r="M59" s="116">
        <v>0</v>
      </c>
      <c r="N59" s="116">
        <v>0</v>
      </c>
      <c r="P59" t="s">
        <v>75</v>
      </c>
      <c r="Q59" s="100" t="s">
        <v>76</v>
      </c>
      <c r="R59" s="70">
        <f t="shared" si="15"/>
        <v>0</v>
      </c>
      <c r="S59" s="70">
        <f t="shared" si="16"/>
        <v>0</v>
      </c>
      <c r="T59" s="70">
        <f t="shared" si="17"/>
        <v>0</v>
      </c>
      <c r="U59" s="70">
        <f t="shared" si="18"/>
        <v>0</v>
      </c>
      <c r="V59" s="70">
        <f t="shared" si="19"/>
        <v>0</v>
      </c>
      <c r="X59" s="62"/>
      <c r="Y59" s="62"/>
    </row>
    <row r="60" spans="1:25">
      <c r="A60" t="s">
        <v>77</v>
      </c>
      <c r="B60" s="100" t="s">
        <v>78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71">
        <v>0</v>
      </c>
      <c r="K60" s="116">
        <v>0</v>
      </c>
      <c r="L60" s="116">
        <v>0</v>
      </c>
      <c r="M60" s="116">
        <v>0</v>
      </c>
      <c r="N60" s="116">
        <v>0</v>
      </c>
      <c r="P60" t="s">
        <v>77</v>
      </c>
      <c r="Q60" s="100" t="s">
        <v>78</v>
      </c>
      <c r="R60" s="70">
        <f t="shared" si="15"/>
        <v>0</v>
      </c>
      <c r="S60" s="70">
        <f t="shared" si="16"/>
        <v>0</v>
      </c>
      <c r="T60" s="70">
        <f t="shared" si="17"/>
        <v>0</v>
      </c>
      <c r="U60" s="70">
        <f t="shared" si="18"/>
        <v>0</v>
      </c>
      <c r="V60" s="70">
        <f t="shared" si="19"/>
        <v>0</v>
      </c>
      <c r="X60" s="62"/>
    </row>
    <row r="61" spans="1:25">
      <c r="A61" t="s">
        <v>79</v>
      </c>
      <c r="B61" s="100" t="s">
        <v>80</v>
      </c>
      <c r="C61" s="114">
        <v>5901.9999999999991</v>
      </c>
      <c r="D61" s="114">
        <v>6060.5100000000011</v>
      </c>
      <c r="E61" s="114">
        <v>6087.4599999999991</v>
      </c>
      <c r="F61" s="114">
        <v>6210.95</v>
      </c>
      <c r="G61" s="114">
        <v>6115.51</v>
      </c>
      <c r="H61" s="114">
        <v>6425.2699999999986</v>
      </c>
      <c r="I61" s="114">
        <v>7195.96</v>
      </c>
      <c r="J61" s="69">
        <v>7410.85</v>
      </c>
      <c r="K61" s="114">
        <v>7220.8000000000011</v>
      </c>
      <c r="L61" s="114">
        <v>6579.9599999999991</v>
      </c>
      <c r="M61" s="114">
        <v>6839.4900000000016</v>
      </c>
      <c r="N61" s="114">
        <v>6977.829999999999</v>
      </c>
      <c r="P61" t="s">
        <v>79</v>
      </c>
      <c r="Q61" s="100" t="s">
        <v>80</v>
      </c>
      <c r="R61" s="70">
        <f t="shared" si="15"/>
        <v>18049.97</v>
      </c>
      <c r="S61" s="70">
        <f t="shared" si="16"/>
        <v>18751.729999999996</v>
      </c>
      <c r="T61" s="70">
        <f t="shared" si="17"/>
        <v>21827.61</v>
      </c>
      <c r="U61" s="70">
        <f t="shared" si="18"/>
        <v>20397.28</v>
      </c>
      <c r="V61" s="70">
        <f t="shared" si="19"/>
        <v>79026.59</v>
      </c>
      <c r="X61" s="62"/>
      <c r="Y61" s="62"/>
    </row>
    <row r="62" spans="1:25">
      <c r="A62" t="s">
        <v>81</v>
      </c>
      <c r="B62" s="100" t="s">
        <v>82</v>
      </c>
      <c r="C62" s="114">
        <v>40980.449999999997</v>
      </c>
      <c r="D62" s="114">
        <v>42835.35</v>
      </c>
      <c r="E62" s="114">
        <v>45300.219999999987</v>
      </c>
      <c r="F62" s="114">
        <v>47145.020000000004</v>
      </c>
      <c r="G62" s="114">
        <v>47747.39</v>
      </c>
      <c r="H62" s="114">
        <v>47480.200000000012</v>
      </c>
      <c r="I62" s="114">
        <v>56641.07</v>
      </c>
      <c r="J62" s="69">
        <v>56024.159999999996</v>
      </c>
      <c r="K62" s="114">
        <v>59121.270000000004</v>
      </c>
      <c r="L62" s="114">
        <v>63075.07</v>
      </c>
      <c r="M62" s="114">
        <v>34987.209999999992</v>
      </c>
      <c r="N62" s="114">
        <v>50929.87</v>
      </c>
      <c r="P62" t="s">
        <v>81</v>
      </c>
      <c r="Q62" s="100" t="s">
        <v>82</v>
      </c>
      <c r="R62" s="70">
        <f t="shared" si="15"/>
        <v>129116.01999999997</v>
      </c>
      <c r="S62" s="70">
        <f t="shared" si="16"/>
        <v>142372.61000000002</v>
      </c>
      <c r="T62" s="70">
        <f t="shared" si="17"/>
        <v>171786.5</v>
      </c>
      <c r="U62" s="70">
        <f t="shared" si="18"/>
        <v>148992.15</v>
      </c>
      <c r="V62" s="70">
        <f t="shared" si="19"/>
        <v>592267.28</v>
      </c>
      <c r="X62" s="62"/>
      <c r="Y62" s="62"/>
    </row>
    <row r="63" spans="1:25">
      <c r="A63" t="s">
        <v>83</v>
      </c>
      <c r="B63" s="100" t="s">
        <v>84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72">
        <v>0</v>
      </c>
      <c r="K63" s="117">
        <v>0</v>
      </c>
      <c r="L63" s="117">
        <v>0</v>
      </c>
      <c r="M63" s="117">
        <v>0</v>
      </c>
      <c r="N63" s="117">
        <v>0</v>
      </c>
      <c r="P63" t="s">
        <v>83</v>
      </c>
      <c r="Q63" s="100" t="s">
        <v>84</v>
      </c>
      <c r="R63" s="73">
        <f t="shared" si="15"/>
        <v>0</v>
      </c>
      <c r="S63" s="73">
        <f t="shared" si="16"/>
        <v>0</v>
      </c>
      <c r="T63" s="73">
        <f t="shared" si="17"/>
        <v>0</v>
      </c>
      <c r="U63" s="73">
        <f t="shared" si="18"/>
        <v>0</v>
      </c>
      <c r="V63" s="73">
        <f t="shared" si="19"/>
        <v>0</v>
      </c>
      <c r="X63" s="62"/>
    </row>
    <row r="64" spans="1:25">
      <c r="A64" s="103" t="s">
        <v>85</v>
      </c>
      <c r="C64" s="114">
        <f t="shared" ref="C64:N64" si="20">SUM(C52:C63)</f>
        <v>1260625.9099999999</v>
      </c>
      <c r="D64" s="114">
        <f>SUM(D52:D63)</f>
        <v>1008513.1400000001</v>
      </c>
      <c r="E64" s="114">
        <f t="shared" si="20"/>
        <v>1122357.76</v>
      </c>
      <c r="F64" s="114">
        <f t="shared" si="20"/>
        <v>1128671.8</v>
      </c>
      <c r="G64" s="114">
        <f t="shared" si="20"/>
        <v>1292748.53</v>
      </c>
      <c r="H64" s="114">
        <f>SUM(H52:H63)</f>
        <v>1383146.4999999998</v>
      </c>
      <c r="I64" s="114">
        <f t="shared" si="20"/>
        <v>1694399.5200000003</v>
      </c>
      <c r="J64" s="69">
        <f t="shared" si="20"/>
        <v>1644517.09</v>
      </c>
      <c r="K64" s="114">
        <f t="shared" si="20"/>
        <v>1580054.0099999998</v>
      </c>
      <c r="L64" s="115">
        <f t="shared" si="20"/>
        <v>1371656.7</v>
      </c>
      <c r="M64" s="114">
        <f t="shared" si="20"/>
        <v>999571.23</v>
      </c>
      <c r="N64" s="114">
        <f t="shared" si="20"/>
        <v>1138972.02</v>
      </c>
      <c r="P64" s="106" t="s">
        <v>85</v>
      </c>
      <c r="R64" s="70">
        <f t="shared" si="15"/>
        <v>3391496.8099999996</v>
      </c>
      <c r="S64" s="70">
        <f t="shared" si="16"/>
        <v>3804566.83</v>
      </c>
      <c r="T64" s="70">
        <f t="shared" si="17"/>
        <v>4918970.62</v>
      </c>
      <c r="U64" s="70">
        <f t="shared" si="18"/>
        <v>3510199.9499999997</v>
      </c>
      <c r="V64" s="70">
        <f t="shared" si="19"/>
        <v>15625234.209999999</v>
      </c>
      <c r="X64" s="62"/>
      <c r="Y64" s="62"/>
    </row>
    <row r="65" spans="1:25" ht="15.75" thickBot="1">
      <c r="A65" s="103" t="s">
        <v>86</v>
      </c>
      <c r="C65" s="118">
        <f t="shared" ref="C65:N65" si="21">SUM(C52:C56)+SUM(C61:C63)</f>
        <v>1260625.9099999999</v>
      </c>
      <c r="D65" s="118">
        <f t="shared" si="21"/>
        <v>1008513.1400000001</v>
      </c>
      <c r="E65" s="118">
        <f t="shared" si="21"/>
        <v>1122357.76</v>
      </c>
      <c r="F65" s="118">
        <f t="shared" si="21"/>
        <v>1128671.8</v>
      </c>
      <c r="G65" s="118">
        <f t="shared" si="21"/>
        <v>1292748.53</v>
      </c>
      <c r="H65" s="118">
        <f>SUM(H52:H56)+SUM(H61:H63)</f>
        <v>1383146.4999999998</v>
      </c>
      <c r="I65" s="118">
        <f t="shared" si="21"/>
        <v>1694399.5200000003</v>
      </c>
      <c r="J65" s="74">
        <f t="shared" si="21"/>
        <v>1644517.09</v>
      </c>
      <c r="K65" s="118">
        <f>SUM(K52:K56)+SUM(K61:K63)</f>
        <v>1580054.0099999998</v>
      </c>
      <c r="L65" s="118">
        <f t="shared" si="21"/>
        <v>1371656.7</v>
      </c>
      <c r="M65" s="118">
        <f t="shared" si="21"/>
        <v>999571.23</v>
      </c>
      <c r="N65" s="118">
        <f t="shared" si="21"/>
        <v>1138972.0199999998</v>
      </c>
      <c r="P65" s="106" t="s">
        <v>86</v>
      </c>
      <c r="R65" s="75">
        <f t="shared" si="15"/>
        <v>3391496.8099999996</v>
      </c>
      <c r="S65" s="75">
        <f t="shared" si="16"/>
        <v>3804566.83</v>
      </c>
      <c r="T65" s="75">
        <f t="shared" si="17"/>
        <v>4918970.62</v>
      </c>
      <c r="U65" s="75">
        <f t="shared" si="18"/>
        <v>3510199.9499999993</v>
      </c>
      <c r="V65" s="75">
        <f t="shared" si="19"/>
        <v>15625234.209999999</v>
      </c>
      <c r="X65" s="62"/>
      <c r="Y65" s="62"/>
    </row>
    <row r="66" spans="1:25" ht="15.75" thickTop="1">
      <c r="A66" s="106"/>
      <c r="C66" s="114"/>
      <c r="D66" s="114"/>
      <c r="E66" s="114"/>
      <c r="F66" s="114"/>
      <c r="G66" s="114"/>
      <c r="H66" s="114"/>
      <c r="I66" s="114"/>
      <c r="J66" s="69"/>
      <c r="K66" s="114"/>
      <c r="L66" s="115"/>
      <c r="M66" s="114"/>
      <c r="N66" s="114"/>
      <c r="P66" s="106"/>
      <c r="R66" s="70"/>
      <c r="S66" s="70"/>
      <c r="T66" s="70"/>
      <c r="U66" s="70"/>
      <c r="V66" s="70"/>
      <c r="X66" s="62"/>
      <c r="Y66" s="62"/>
    </row>
    <row r="67" spans="1:25">
      <c r="A67" t="s">
        <v>89</v>
      </c>
      <c r="B67" t="s">
        <v>90</v>
      </c>
      <c r="C67" s="114">
        <v>55881</v>
      </c>
      <c r="D67" s="114">
        <v>-58734</v>
      </c>
      <c r="E67" s="114">
        <v>-23085</v>
      </c>
      <c r="F67" s="114">
        <v>-32594</v>
      </c>
      <c r="G67" s="114">
        <v>32304</v>
      </c>
      <c r="H67" s="114">
        <v>53438</v>
      </c>
      <c r="I67" s="114">
        <v>81269</v>
      </c>
      <c r="J67" s="69">
        <v>7434</v>
      </c>
      <c r="K67" s="114">
        <v>-57936</v>
      </c>
      <c r="L67" s="115">
        <v>-35874</v>
      </c>
      <c r="M67" s="114">
        <v>-31901</v>
      </c>
      <c r="N67" s="114">
        <v>26497</v>
      </c>
      <c r="P67" t="s">
        <v>96</v>
      </c>
      <c r="Q67" t="s">
        <v>90</v>
      </c>
      <c r="R67" s="70">
        <f t="shared" si="15"/>
        <v>-25938</v>
      </c>
      <c r="S67" s="70">
        <f t="shared" si="16"/>
        <v>53148</v>
      </c>
      <c r="T67" s="70">
        <f t="shared" si="17"/>
        <v>30767</v>
      </c>
      <c r="U67" s="70">
        <f t="shared" si="18"/>
        <v>-41278</v>
      </c>
      <c r="V67" s="70">
        <f t="shared" si="19"/>
        <v>16699</v>
      </c>
      <c r="X67" s="62"/>
      <c r="Y67" s="62"/>
    </row>
    <row r="68" spans="1:25">
      <c r="A68" s="106"/>
      <c r="B68" t="s">
        <v>92</v>
      </c>
      <c r="C68" s="114">
        <v>23995</v>
      </c>
      <c r="D68" s="114">
        <v>-35320</v>
      </c>
      <c r="E68" s="114">
        <v>-7459</v>
      </c>
      <c r="F68" s="114">
        <v>-4232</v>
      </c>
      <c r="G68" s="114">
        <v>54901</v>
      </c>
      <c r="H68" s="114">
        <v>33152</v>
      </c>
      <c r="I68" s="114">
        <v>34509</v>
      </c>
      <c r="J68" s="69">
        <v>-8365</v>
      </c>
      <c r="K68" s="114">
        <v>-22358</v>
      </c>
      <c r="L68" s="115">
        <v>-37856</v>
      </c>
      <c r="M68" s="114">
        <v>-2783</v>
      </c>
      <c r="N68" s="114">
        <v>-16371</v>
      </c>
      <c r="P68" s="106" t="s">
        <v>97</v>
      </c>
      <c r="Q68" t="s">
        <v>92</v>
      </c>
      <c r="R68" s="70">
        <f t="shared" si="15"/>
        <v>-18784</v>
      </c>
      <c r="S68" s="70">
        <f t="shared" si="16"/>
        <v>83821</v>
      </c>
      <c r="T68" s="70">
        <f t="shared" si="17"/>
        <v>3786</v>
      </c>
      <c r="U68" s="70">
        <f t="shared" si="18"/>
        <v>-57010</v>
      </c>
      <c r="V68" s="70">
        <f t="shared" si="19"/>
        <v>11813</v>
      </c>
      <c r="X68" s="62"/>
      <c r="Y68" s="62"/>
    </row>
    <row r="69" spans="1:25">
      <c r="B69" t="s">
        <v>94</v>
      </c>
      <c r="C69" s="114">
        <v>-19467</v>
      </c>
      <c r="D69" s="114">
        <v>-16149</v>
      </c>
      <c r="E69" s="114">
        <v>-4559</v>
      </c>
      <c r="F69" s="114">
        <v>963</v>
      </c>
      <c r="G69" s="114">
        <v>39121</v>
      </c>
      <c r="H69" s="114">
        <v>6584</v>
      </c>
      <c r="I69" s="114">
        <v>14747</v>
      </c>
      <c r="J69" s="69">
        <v>-10456</v>
      </c>
      <c r="K69" s="114">
        <v>-21125</v>
      </c>
      <c r="L69" s="115">
        <v>2158</v>
      </c>
      <c r="M69" s="114">
        <v>-33171</v>
      </c>
      <c r="N69" s="114">
        <v>-14920</v>
      </c>
      <c r="Q69" t="s">
        <v>94</v>
      </c>
      <c r="R69" s="70">
        <f t="shared" si="15"/>
        <v>-40175</v>
      </c>
      <c r="S69" s="70">
        <f t="shared" si="16"/>
        <v>46668</v>
      </c>
      <c r="T69" s="70">
        <f t="shared" si="17"/>
        <v>-16834</v>
      </c>
      <c r="U69" s="70">
        <f t="shared" si="18"/>
        <v>-45933</v>
      </c>
      <c r="V69" s="70">
        <f t="shared" si="19"/>
        <v>-56274</v>
      </c>
      <c r="X69" s="62"/>
      <c r="Y69" s="62"/>
    </row>
    <row r="70" spans="1:25">
      <c r="A70" t="s">
        <v>98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9">
        <v>0</v>
      </c>
      <c r="K70" s="116">
        <v>0</v>
      </c>
      <c r="L70" s="116">
        <v>0</v>
      </c>
      <c r="M70" s="116">
        <v>0</v>
      </c>
      <c r="N70" s="116">
        <v>0</v>
      </c>
      <c r="P70" t="s">
        <v>98</v>
      </c>
      <c r="R70" s="70"/>
      <c r="S70" s="70"/>
      <c r="T70" s="70"/>
      <c r="U70" s="70"/>
      <c r="V70" s="70"/>
    </row>
    <row r="71" spans="1:25">
      <c r="R71" s="70"/>
      <c r="S71" s="70"/>
      <c r="T71" s="70"/>
      <c r="U71" s="70"/>
      <c r="V71" s="70"/>
    </row>
    <row r="72" spans="1:25">
      <c r="R72" s="70"/>
      <c r="S72" s="70"/>
      <c r="T72" s="70"/>
      <c r="U72" s="70"/>
      <c r="V72" s="70"/>
    </row>
    <row r="73" spans="1:25">
      <c r="R73" s="70"/>
      <c r="S73" s="70"/>
      <c r="T73" s="70"/>
      <c r="U73" s="70"/>
      <c r="V73" s="70"/>
    </row>
    <row r="74" spans="1:25">
      <c r="R74" s="70"/>
      <c r="S74" s="70"/>
      <c r="T74" s="70"/>
      <c r="U74" s="70"/>
      <c r="V74" s="70"/>
    </row>
    <row r="75" spans="1:25">
      <c r="A75" s="98" t="s">
        <v>244</v>
      </c>
      <c r="P75" s="98" t="s">
        <v>244</v>
      </c>
    </row>
    <row r="76" spans="1:25">
      <c r="I76" s="99"/>
      <c r="J76" s="68"/>
      <c r="K76" s="99"/>
      <c r="L76" s="99"/>
      <c r="M76" s="99"/>
    </row>
    <row r="77" spans="1:25">
      <c r="A77" s="98" t="s">
        <v>99</v>
      </c>
      <c r="P77" s="98" t="s">
        <v>99</v>
      </c>
      <c r="R77" s="100" t="s">
        <v>43</v>
      </c>
      <c r="S77" s="100" t="s">
        <v>44</v>
      </c>
      <c r="T77" s="100" t="s">
        <v>45</v>
      </c>
      <c r="U77" s="101" t="s">
        <v>46</v>
      </c>
      <c r="V77" s="101"/>
    </row>
    <row r="78" spans="1:25">
      <c r="A78" s="98" t="s">
        <v>47</v>
      </c>
      <c r="C78" s="102" t="s">
        <v>48</v>
      </c>
      <c r="D78" s="102" t="s">
        <v>49</v>
      </c>
      <c r="E78" s="102" t="s">
        <v>50</v>
      </c>
      <c r="F78" s="102" t="s">
        <v>51</v>
      </c>
      <c r="G78" s="102" t="s">
        <v>52</v>
      </c>
      <c r="H78" s="102" t="s">
        <v>53</v>
      </c>
      <c r="I78" s="102" t="s">
        <v>54</v>
      </c>
      <c r="J78" s="58" t="s">
        <v>55</v>
      </c>
      <c r="K78" s="102" t="s">
        <v>56</v>
      </c>
      <c r="L78" s="102" t="s">
        <v>57</v>
      </c>
      <c r="M78" s="102" t="s">
        <v>58</v>
      </c>
      <c r="N78" s="102" t="s">
        <v>59</v>
      </c>
      <c r="P78" s="98" t="s">
        <v>47</v>
      </c>
      <c r="R78" s="102" t="s">
        <v>60</v>
      </c>
      <c r="S78" s="102" t="s">
        <v>60</v>
      </c>
      <c r="T78" s="102" t="s">
        <v>60</v>
      </c>
      <c r="U78" s="102" t="s">
        <v>60</v>
      </c>
      <c r="V78" s="102" t="s">
        <v>61</v>
      </c>
    </row>
    <row r="80" spans="1:25">
      <c r="A80" t="s">
        <v>62</v>
      </c>
      <c r="B80" s="100" t="s">
        <v>63</v>
      </c>
      <c r="C80" s="59">
        <f>8179+13</f>
        <v>8192</v>
      </c>
      <c r="D80" s="59">
        <f>17+8183</f>
        <v>8200</v>
      </c>
      <c r="E80" s="59">
        <f>8186+15</f>
        <v>8201</v>
      </c>
      <c r="F80" s="59">
        <f>8145+15</f>
        <v>8160</v>
      </c>
      <c r="G80" s="59">
        <f>8137+19</f>
        <v>8156</v>
      </c>
      <c r="H80" s="59">
        <f>19+8113</f>
        <v>8132</v>
      </c>
      <c r="I80" s="59">
        <f>8116+15</f>
        <v>8131</v>
      </c>
      <c r="J80" s="60">
        <f>8107+16</f>
        <v>8123</v>
      </c>
      <c r="K80" s="59">
        <f>8098+15</f>
        <v>8113</v>
      </c>
      <c r="L80" s="59">
        <f>8119+15</f>
        <v>8134</v>
      </c>
      <c r="M80" s="59">
        <f>8141+14</f>
        <v>8155</v>
      </c>
      <c r="N80" s="59">
        <f>8143+13</f>
        <v>8156</v>
      </c>
      <c r="P80" t="s">
        <v>62</v>
      </c>
      <c r="Q80" s="100" t="s">
        <v>63</v>
      </c>
      <c r="R80" s="61">
        <f>SUM(C80:E80)/3</f>
        <v>8197.6666666666661</v>
      </c>
      <c r="S80" s="61">
        <f>SUM(F80:H80)/3</f>
        <v>8149.333333333333</v>
      </c>
      <c r="T80" s="61">
        <f>SUM(I80:K80)/3</f>
        <v>8122.333333333333</v>
      </c>
      <c r="U80" s="61">
        <f>SUM(L80:N80)/3</f>
        <v>8148.333333333333</v>
      </c>
      <c r="V80" s="61">
        <f>IF(COUNT(C80:N80)=0,0,SUM(C80:N80)/COUNT(C80:N80))</f>
        <v>8154.416666666667</v>
      </c>
      <c r="X80" s="62"/>
    </row>
    <row r="81" spans="1:24">
      <c r="A81" t="s">
        <v>64</v>
      </c>
      <c r="B81" s="100" t="s">
        <v>65</v>
      </c>
      <c r="C81" s="59">
        <f>1249+16</f>
        <v>1265</v>
      </c>
      <c r="D81" s="59">
        <f>1243+16</f>
        <v>1259</v>
      </c>
      <c r="E81" s="59">
        <f>1255+16</f>
        <v>1271</v>
      </c>
      <c r="F81" s="59">
        <f>1263+16</f>
        <v>1279</v>
      </c>
      <c r="G81" s="59">
        <f>1273+16</f>
        <v>1289</v>
      </c>
      <c r="H81" s="59">
        <f>1279+16</f>
        <v>1295</v>
      </c>
      <c r="I81" s="59">
        <f>1267+16</f>
        <v>1283</v>
      </c>
      <c r="J81" s="60">
        <f>1267+17</f>
        <v>1284</v>
      </c>
      <c r="K81" s="59">
        <f>1266+15</f>
        <v>1281</v>
      </c>
      <c r="L81" s="59">
        <f>1265+15</f>
        <v>1280</v>
      </c>
      <c r="M81" s="59">
        <f>15+1263</f>
        <v>1278</v>
      </c>
      <c r="N81" s="59">
        <f>1264+15</f>
        <v>1279</v>
      </c>
      <c r="P81" t="s">
        <v>64</v>
      </c>
      <c r="Q81" s="100" t="s">
        <v>65</v>
      </c>
      <c r="R81" s="61">
        <f>SUM(C81:E81)/3</f>
        <v>1265</v>
      </c>
      <c r="S81" s="61">
        <f>SUM(F81:H81)/3</f>
        <v>1287.6666666666667</v>
      </c>
      <c r="T81" s="61">
        <f>SUM(I81:K81)/3</f>
        <v>1282.6666666666667</v>
      </c>
      <c r="U81" s="61">
        <f>SUM(L81:N81)/3</f>
        <v>1279</v>
      </c>
      <c r="V81" s="61">
        <f t="shared" ref="V81:V91" si="22">IF(COUNT(C81:N81)=0,0,SUM(C81:N81)/COUNT(C81:N81))</f>
        <v>1278.5833333333333</v>
      </c>
      <c r="X81" s="62"/>
    </row>
    <row r="82" spans="1:24">
      <c r="A82" t="s">
        <v>66</v>
      </c>
      <c r="B82" s="100" t="s">
        <v>67</v>
      </c>
      <c r="C82" s="59">
        <v>52</v>
      </c>
      <c r="D82" s="59">
        <v>52</v>
      </c>
      <c r="E82" s="59">
        <v>52</v>
      </c>
      <c r="F82" s="59">
        <v>52</v>
      </c>
      <c r="G82" s="59">
        <v>52</v>
      </c>
      <c r="H82" s="59">
        <v>53</v>
      </c>
      <c r="I82" s="59">
        <v>53</v>
      </c>
      <c r="J82" s="60">
        <v>53</v>
      </c>
      <c r="K82" s="59">
        <v>52</v>
      </c>
      <c r="L82" s="59">
        <v>52</v>
      </c>
      <c r="M82" s="59">
        <v>52</v>
      </c>
      <c r="N82" s="59">
        <v>52</v>
      </c>
      <c r="P82" t="s">
        <v>66</v>
      </c>
      <c r="Q82" s="100" t="s">
        <v>67</v>
      </c>
      <c r="R82" s="61">
        <f>SUM(C82:E82)/3</f>
        <v>52</v>
      </c>
      <c r="S82" s="61">
        <f>SUM(F82:H82)/3</f>
        <v>52.333333333333336</v>
      </c>
      <c r="T82" s="61">
        <f>SUM(I82:K82)/3</f>
        <v>52.666666666666664</v>
      </c>
      <c r="U82" s="61">
        <f>SUM(L82:N82)/3</f>
        <v>52</v>
      </c>
      <c r="V82" s="61">
        <f t="shared" si="22"/>
        <v>52.25</v>
      </c>
      <c r="X82" s="62"/>
    </row>
    <row r="83" spans="1:24">
      <c r="A83" t="s">
        <v>68</v>
      </c>
      <c r="B83" s="100" t="s">
        <v>69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60">
        <v>0</v>
      </c>
      <c r="K83" s="59">
        <v>0</v>
      </c>
      <c r="L83" s="59">
        <v>0</v>
      </c>
      <c r="M83" s="59">
        <v>0</v>
      </c>
      <c r="N83" s="59">
        <v>0</v>
      </c>
      <c r="P83" t="s">
        <v>68</v>
      </c>
      <c r="Q83" s="100" t="s">
        <v>69</v>
      </c>
      <c r="R83" s="61">
        <f t="shared" ref="R83:R93" si="23">SUM(C83:E83)/3</f>
        <v>0</v>
      </c>
      <c r="S83" s="61">
        <f t="shared" ref="S83:S93" si="24">SUM(F83:H83)/3</f>
        <v>0</v>
      </c>
      <c r="T83" s="61">
        <f t="shared" ref="T83:T93" si="25">SUM(I83:K83)/3</f>
        <v>0</v>
      </c>
      <c r="U83" s="61">
        <f t="shared" ref="U83:U93" si="26">SUM(L83:N83)/3</f>
        <v>0</v>
      </c>
      <c r="V83" s="61">
        <f t="shared" si="22"/>
        <v>0</v>
      </c>
      <c r="X83" s="62"/>
    </row>
    <row r="84" spans="1:24">
      <c r="A84" t="s">
        <v>70</v>
      </c>
      <c r="B84" s="100" t="s">
        <v>71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60">
        <v>0</v>
      </c>
      <c r="K84" s="59">
        <v>0</v>
      </c>
      <c r="L84" s="59">
        <v>0</v>
      </c>
      <c r="M84" s="59">
        <v>0</v>
      </c>
      <c r="N84" s="59">
        <v>0</v>
      </c>
      <c r="P84" t="s">
        <v>70</v>
      </c>
      <c r="Q84" s="100" t="s">
        <v>71</v>
      </c>
      <c r="R84" s="61">
        <f t="shared" si="23"/>
        <v>0</v>
      </c>
      <c r="S84" s="61">
        <f t="shared" si="24"/>
        <v>0</v>
      </c>
      <c r="T84" s="61">
        <f t="shared" si="25"/>
        <v>0</v>
      </c>
      <c r="U84" s="61">
        <f t="shared" si="26"/>
        <v>0</v>
      </c>
      <c r="V84" s="61">
        <f t="shared" si="22"/>
        <v>0</v>
      </c>
      <c r="X84" s="62"/>
    </row>
    <row r="85" spans="1:24">
      <c r="A85" s="111" t="s">
        <v>72</v>
      </c>
      <c r="B85" s="100"/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60">
        <v>0</v>
      </c>
      <c r="K85" s="59">
        <v>0</v>
      </c>
      <c r="L85" s="59">
        <v>0</v>
      </c>
      <c r="M85" s="59">
        <v>0</v>
      </c>
      <c r="N85" s="59">
        <v>0</v>
      </c>
      <c r="P85" t="s">
        <v>72</v>
      </c>
      <c r="Q85" s="100"/>
      <c r="R85" s="61">
        <f>SUM(C85:E85)/3</f>
        <v>0</v>
      </c>
      <c r="S85" s="61">
        <f>SUM(F85:H85)/3</f>
        <v>0</v>
      </c>
      <c r="T85" s="61">
        <f>SUM(I85:K85)/3</f>
        <v>0</v>
      </c>
      <c r="U85" s="61">
        <f>SUM(L85:N85)/3</f>
        <v>0</v>
      </c>
      <c r="V85" s="61">
        <f>IF(COUNT(C85:N85)=0,0,SUM(C85:N85)/COUNT(C85:N85))</f>
        <v>0</v>
      </c>
      <c r="X85" s="62"/>
    </row>
    <row r="86" spans="1:24">
      <c r="A86" t="s">
        <v>73</v>
      </c>
      <c r="B86" s="100" t="s">
        <v>74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60">
        <v>0</v>
      </c>
      <c r="K86" s="59">
        <v>0</v>
      </c>
      <c r="L86" s="59">
        <v>0</v>
      </c>
      <c r="M86" s="59">
        <v>0</v>
      </c>
      <c r="N86" s="59">
        <v>0</v>
      </c>
      <c r="P86" t="s">
        <v>73</v>
      </c>
      <c r="Q86" s="100" t="s">
        <v>74</v>
      </c>
      <c r="R86" s="61">
        <f t="shared" si="23"/>
        <v>0</v>
      </c>
      <c r="S86" s="61">
        <f t="shared" si="24"/>
        <v>0</v>
      </c>
      <c r="T86" s="61">
        <f t="shared" si="25"/>
        <v>0</v>
      </c>
      <c r="U86" s="61">
        <f t="shared" si="26"/>
        <v>0</v>
      </c>
      <c r="V86" s="61">
        <f t="shared" si="22"/>
        <v>0</v>
      </c>
      <c r="X86" s="62"/>
    </row>
    <row r="87" spans="1:24">
      <c r="A87" t="s">
        <v>75</v>
      </c>
      <c r="B87" s="100" t="s">
        <v>76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60">
        <v>0</v>
      </c>
      <c r="K87" s="59">
        <v>0</v>
      </c>
      <c r="L87" s="59">
        <v>0</v>
      </c>
      <c r="M87" s="59">
        <v>0</v>
      </c>
      <c r="N87" s="59">
        <v>0</v>
      </c>
      <c r="P87" t="s">
        <v>75</v>
      </c>
      <c r="Q87" s="100" t="s">
        <v>76</v>
      </c>
      <c r="R87" s="61">
        <f t="shared" si="23"/>
        <v>0</v>
      </c>
      <c r="S87" s="61">
        <f t="shared" si="24"/>
        <v>0</v>
      </c>
      <c r="T87" s="61">
        <f t="shared" si="25"/>
        <v>0</v>
      </c>
      <c r="U87" s="61">
        <f t="shared" si="26"/>
        <v>0</v>
      </c>
      <c r="V87" s="61">
        <f t="shared" si="22"/>
        <v>0</v>
      </c>
      <c r="X87" s="62"/>
    </row>
    <row r="88" spans="1:24">
      <c r="A88" t="s">
        <v>77</v>
      </c>
      <c r="B88" s="100" t="s">
        <v>78</v>
      </c>
      <c r="C88" s="59">
        <v>1</v>
      </c>
      <c r="D88" s="59">
        <v>1</v>
      </c>
      <c r="E88" s="59">
        <v>1</v>
      </c>
      <c r="F88" s="59">
        <v>1</v>
      </c>
      <c r="G88" s="59">
        <v>1</v>
      </c>
      <c r="H88" s="59">
        <v>1</v>
      </c>
      <c r="I88" s="59">
        <v>1</v>
      </c>
      <c r="J88" s="60">
        <v>1</v>
      </c>
      <c r="K88" s="59">
        <v>1</v>
      </c>
      <c r="L88" s="59">
        <v>1</v>
      </c>
      <c r="M88" s="59">
        <v>1</v>
      </c>
      <c r="N88" s="59">
        <v>1</v>
      </c>
      <c r="P88" t="s">
        <v>77</v>
      </c>
      <c r="Q88" s="100" t="s">
        <v>78</v>
      </c>
      <c r="R88" s="61">
        <f t="shared" si="23"/>
        <v>1</v>
      </c>
      <c r="S88" s="61">
        <f t="shared" si="24"/>
        <v>1</v>
      </c>
      <c r="T88" s="61">
        <f t="shared" si="25"/>
        <v>1</v>
      </c>
      <c r="U88" s="61">
        <f t="shared" si="26"/>
        <v>1</v>
      </c>
      <c r="V88" s="61">
        <f t="shared" si="22"/>
        <v>1</v>
      </c>
      <c r="X88" s="62"/>
    </row>
    <row r="89" spans="1:24">
      <c r="A89" t="s">
        <v>79</v>
      </c>
      <c r="B89" s="100" t="s">
        <v>80</v>
      </c>
      <c r="C89" s="59">
        <v>55</v>
      </c>
      <c r="D89" s="59">
        <v>55</v>
      </c>
      <c r="E89" s="59">
        <v>55</v>
      </c>
      <c r="F89" s="59">
        <v>55</v>
      </c>
      <c r="G89" s="59">
        <v>55</v>
      </c>
      <c r="H89" s="59">
        <v>55</v>
      </c>
      <c r="I89" s="59">
        <v>55</v>
      </c>
      <c r="J89" s="60">
        <v>55</v>
      </c>
      <c r="K89" s="59">
        <v>55</v>
      </c>
      <c r="L89" s="59">
        <v>55</v>
      </c>
      <c r="M89" s="59">
        <v>55</v>
      </c>
      <c r="N89" s="59">
        <v>55</v>
      </c>
      <c r="P89" t="s">
        <v>79</v>
      </c>
      <c r="Q89" s="100" t="s">
        <v>80</v>
      </c>
      <c r="R89" s="61">
        <f t="shared" si="23"/>
        <v>55</v>
      </c>
      <c r="S89" s="61">
        <f t="shared" si="24"/>
        <v>55</v>
      </c>
      <c r="T89" s="61">
        <f t="shared" si="25"/>
        <v>55</v>
      </c>
      <c r="U89" s="61">
        <f t="shared" si="26"/>
        <v>55</v>
      </c>
      <c r="V89" s="61">
        <f t="shared" si="22"/>
        <v>55</v>
      </c>
      <c r="X89" s="62"/>
    </row>
    <row r="90" spans="1:24">
      <c r="A90" t="s">
        <v>81</v>
      </c>
      <c r="B90" s="100" t="s">
        <v>82</v>
      </c>
      <c r="C90" s="59">
        <f>60+41</f>
        <v>101</v>
      </c>
      <c r="D90" s="59">
        <f>60+41</f>
        <v>101</v>
      </c>
      <c r="E90" s="59">
        <f>60+41</f>
        <v>101</v>
      </c>
      <c r="F90" s="59">
        <f>60+41</f>
        <v>101</v>
      </c>
      <c r="G90" s="59">
        <f>59+41</f>
        <v>100</v>
      </c>
      <c r="H90" s="59">
        <f>59+41</f>
        <v>100</v>
      </c>
      <c r="I90" s="59">
        <f>59+41</f>
        <v>100</v>
      </c>
      <c r="J90" s="60">
        <f>58+41</f>
        <v>99</v>
      </c>
      <c r="K90" s="59">
        <f>58+41</f>
        <v>99</v>
      </c>
      <c r="L90" s="59">
        <f>58+41</f>
        <v>99</v>
      </c>
      <c r="M90" s="59">
        <f>58+41</f>
        <v>99</v>
      </c>
      <c r="N90" s="59">
        <f>58+41</f>
        <v>99</v>
      </c>
      <c r="P90" t="s">
        <v>81</v>
      </c>
      <c r="Q90" s="100" t="s">
        <v>82</v>
      </c>
      <c r="R90" s="61">
        <f t="shared" si="23"/>
        <v>101</v>
      </c>
      <c r="S90" s="61">
        <f t="shared" si="24"/>
        <v>100.33333333333333</v>
      </c>
      <c r="T90" s="61">
        <f t="shared" si="25"/>
        <v>99.333333333333329</v>
      </c>
      <c r="U90" s="61">
        <f t="shared" si="26"/>
        <v>99</v>
      </c>
      <c r="V90" s="61">
        <f t="shared" si="22"/>
        <v>99.916666666666671</v>
      </c>
      <c r="X90" s="62"/>
    </row>
    <row r="91" spans="1:24">
      <c r="A91" t="s">
        <v>83</v>
      </c>
      <c r="B91" s="100" t="s">
        <v>84</v>
      </c>
      <c r="C91" s="63">
        <v>4</v>
      </c>
      <c r="D91" s="63">
        <v>4</v>
      </c>
      <c r="E91" s="63">
        <v>4</v>
      </c>
      <c r="F91" s="63">
        <v>4</v>
      </c>
      <c r="G91" s="63">
        <v>4</v>
      </c>
      <c r="H91" s="63">
        <v>4</v>
      </c>
      <c r="I91" s="63">
        <v>4</v>
      </c>
      <c r="J91" s="64">
        <v>4</v>
      </c>
      <c r="K91" s="63">
        <v>4</v>
      </c>
      <c r="L91" s="63">
        <v>4</v>
      </c>
      <c r="M91" s="63">
        <v>4</v>
      </c>
      <c r="N91" s="63">
        <v>4</v>
      </c>
      <c r="P91" t="s">
        <v>83</v>
      </c>
      <c r="Q91" s="100" t="s">
        <v>84</v>
      </c>
      <c r="R91" s="65">
        <f t="shared" si="23"/>
        <v>4</v>
      </c>
      <c r="S91" s="65">
        <f t="shared" si="24"/>
        <v>4</v>
      </c>
      <c r="T91" s="65">
        <f t="shared" si="25"/>
        <v>4</v>
      </c>
      <c r="U91" s="65">
        <f t="shared" si="26"/>
        <v>4</v>
      </c>
      <c r="V91" s="65">
        <f t="shared" si="22"/>
        <v>4</v>
      </c>
      <c r="X91" s="62"/>
    </row>
    <row r="92" spans="1:24">
      <c r="A92" s="103" t="s">
        <v>85</v>
      </c>
      <c r="C92" s="104">
        <f t="shared" ref="C92:N92" si="27">SUM(C80:C91)</f>
        <v>9670</v>
      </c>
      <c r="D92" s="104">
        <f>SUM(D80:D91)</f>
        <v>9672</v>
      </c>
      <c r="E92" s="104">
        <f t="shared" si="27"/>
        <v>9685</v>
      </c>
      <c r="F92" s="104">
        <f t="shared" si="27"/>
        <v>9652</v>
      </c>
      <c r="G92" s="104">
        <f t="shared" si="27"/>
        <v>9657</v>
      </c>
      <c r="H92" s="104">
        <f t="shared" si="27"/>
        <v>9640</v>
      </c>
      <c r="I92" s="104">
        <f t="shared" si="27"/>
        <v>9627</v>
      </c>
      <c r="J92" s="57">
        <f t="shared" si="27"/>
        <v>9619</v>
      </c>
      <c r="K92" s="104">
        <f t="shared" si="27"/>
        <v>9605</v>
      </c>
      <c r="L92" s="104">
        <f t="shared" si="27"/>
        <v>9625</v>
      </c>
      <c r="M92" s="104">
        <f t="shared" si="27"/>
        <v>9644</v>
      </c>
      <c r="N92" s="104">
        <f t="shared" si="27"/>
        <v>9646</v>
      </c>
      <c r="P92" s="106" t="s">
        <v>85</v>
      </c>
      <c r="R92" s="61">
        <f t="shared" si="23"/>
        <v>9675.6666666666661</v>
      </c>
      <c r="S92" s="61">
        <f t="shared" si="24"/>
        <v>9649.6666666666661</v>
      </c>
      <c r="T92" s="61">
        <f t="shared" si="25"/>
        <v>9617</v>
      </c>
      <c r="U92" s="61">
        <f t="shared" si="26"/>
        <v>9638.3333333333339</v>
      </c>
      <c r="V92" s="104">
        <f>SUM(V80:V91)</f>
        <v>9645.1666666666661</v>
      </c>
      <c r="X92" s="62"/>
    </row>
    <row r="93" spans="1:24" ht="15.75" thickBot="1">
      <c r="A93" s="103" t="s">
        <v>86</v>
      </c>
      <c r="C93" s="107">
        <f t="shared" ref="C93:L93" si="28">SUM(C80:C84)+SUM(C89:C91)</f>
        <v>9669</v>
      </c>
      <c r="D93" s="107">
        <f t="shared" si="28"/>
        <v>9671</v>
      </c>
      <c r="E93" s="107">
        <f t="shared" si="28"/>
        <v>9684</v>
      </c>
      <c r="F93" s="107">
        <f t="shared" si="28"/>
        <v>9651</v>
      </c>
      <c r="G93" s="107">
        <f t="shared" si="28"/>
        <v>9656</v>
      </c>
      <c r="H93" s="107">
        <f t="shared" si="28"/>
        <v>9639</v>
      </c>
      <c r="I93" s="107">
        <f t="shared" si="28"/>
        <v>9626</v>
      </c>
      <c r="J93" s="66">
        <f t="shared" si="28"/>
        <v>9618</v>
      </c>
      <c r="K93" s="107">
        <f t="shared" si="28"/>
        <v>9604</v>
      </c>
      <c r="L93" s="107">
        <f t="shared" si="28"/>
        <v>9624</v>
      </c>
      <c r="M93" s="107">
        <f>SUM(M80:M84)+SUM(M89:M91)</f>
        <v>9643</v>
      </c>
      <c r="N93" s="107">
        <f>SUM(N80:N84)+SUM(N89:N91)</f>
        <v>9645</v>
      </c>
      <c r="P93" s="106" t="s">
        <v>86</v>
      </c>
      <c r="R93" s="67">
        <f t="shared" si="23"/>
        <v>9674.6666666666661</v>
      </c>
      <c r="S93" s="67">
        <f t="shared" si="24"/>
        <v>9648.6666666666661</v>
      </c>
      <c r="T93" s="67">
        <f t="shared" si="25"/>
        <v>9616</v>
      </c>
      <c r="U93" s="67">
        <f t="shared" si="26"/>
        <v>9637.3333333333339</v>
      </c>
      <c r="V93" s="107">
        <f>SUM(V80:V84)+SUM(V89:V91)</f>
        <v>9644.1666666666661</v>
      </c>
      <c r="X93" s="62"/>
    </row>
    <row r="94" spans="1:24" ht="15.75" thickTop="1">
      <c r="A94" s="106"/>
      <c r="C94" s="108"/>
      <c r="D94" s="108"/>
      <c r="E94" s="108"/>
      <c r="F94" s="108"/>
      <c r="G94" s="108"/>
      <c r="H94" s="108"/>
      <c r="I94" s="108"/>
      <c r="J94" s="68"/>
      <c r="K94" s="108"/>
      <c r="L94" s="108"/>
      <c r="M94" s="108"/>
      <c r="N94" s="108"/>
      <c r="P94" s="106"/>
      <c r="R94" s="61"/>
      <c r="S94" s="61"/>
      <c r="T94" s="61"/>
      <c r="U94" s="61"/>
      <c r="V94" s="104"/>
      <c r="X94" s="62"/>
    </row>
    <row r="95" spans="1:24">
      <c r="A95" s="106"/>
      <c r="C95" s="108"/>
      <c r="D95" s="108"/>
      <c r="E95" s="108"/>
      <c r="F95" s="108"/>
      <c r="G95" s="108"/>
      <c r="H95" s="108"/>
      <c r="I95" s="108"/>
      <c r="J95" s="68"/>
      <c r="K95" s="108"/>
      <c r="L95" s="108"/>
      <c r="M95" s="108"/>
      <c r="N95" s="108"/>
      <c r="P95" s="106"/>
      <c r="R95" s="61"/>
      <c r="S95" s="61"/>
      <c r="T95" s="61"/>
      <c r="U95" s="61"/>
      <c r="V95" s="104"/>
      <c r="X95" s="62"/>
    </row>
    <row r="96" spans="1:24">
      <c r="A96" s="106"/>
      <c r="C96" s="108"/>
      <c r="D96" s="108"/>
      <c r="E96" s="108"/>
      <c r="F96" s="108"/>
      <c r="G96" s="108"/>
      <c r="H96" s="108"/>
      <c r="I96" s="108"/>
      <c r="J96" s="68"/>
      <c r="K96" s="108"/>
      <c r="L96" s="108"/>
      <c r="M96" s="108"/>
      <c r="N96" s="108"/>
      <c r="P96" s="106"/>
      <c r="R96" s="61"/>
      <c r="S96" s="61"/>
      <c r="T96" s="61"/>
      <c r="U96" s="61"/>
      <c r="V96" s="104"/>
      <c r="X96" s="62"/>
    </row>
    <row r="97" spans="1:24">
      <c r="C97" s="104"/>
      <c r="D97" s="104"/>
      <c r="E97" s="104"/>
      <c r="F97" s="104"/>
      <c r="G97" s="104"/>
      <c r="H97" s="104"/>
      <c r="I97" s="104"/>
      <c r="K97" s="104"/>
      <c r="L97" s="104"/>
      <c r="M97" s="104"/>
      <c r="N97" s="104"/>
      <c r="R97" s="61"/>
      <c r="S97" s="61"/>
      <c r="T97" s="61"/>
      <c r="U97" s="61"/>
      <c r="V97" s="61"/>
    </row>
    <row r="98" spans="1:24">
      <c r="A98" s="98" t="s">
        <v>100</v>
      </c>
      <c r="C98" s="104"/>
      <c r="D98" s="104"/>
      <c r="E98" s="104"/>
      <c r="F98" s="104"/>
      <c r="G98" s="104"/>
      <c r="H98" s="104"/>
      <c r="I98" s="104"/>
      <c r="K98" s="104"/>
      <c r="L98" s="104"/>
      <c r="M98" s="104"/>
      <c r="N98" s="104"/>
      <c r="P98" s="98" t="s">
        <v>100</v>
      </c>
      <c r="R98" s="61"/>
      <c r="S98" s="61"/>
      <c r="T98" s="61"/>
      <c r="U98" s="61"/>
      <c r="V98" s="61"/>
    </row>
    <row r="99" spans="1:24">
      <c r="A99" t="s">
        <v>62</v>
      </c>
      <c r="B99" s="100" t="s">
        <v>63</v>
      </c>
      <c r="C99" s="104">
        <v>11764594</v>
      </c>
      <c r="D99" s="104">
        <v>10556686</v>
      </c>
      <c r="E99" s="104">
        <v>9959836</v>
      </c>
      <c r="F99" s="104">
        <v>5562126</v>
      </c>
      <c r="G99" s="104">
        <v>6042415</v>
      </c>
      <c r="H99" s="104">
        <v>8348297</v>
      </c>
      <c r="I99" s="104">
        <v>11641188</v>
      </c>
      <c r="J99" s="57">
        <v>10065405</v>
      </c>
      <c r="K99" s="104">
        <v>9473119</v>
      </c>
      <c r="L99" s="104">
        <v>6988856</v>
      </c>
      <c r="M99" s="108">
        <v>8845824</v>
      </c>
      <c r="N99" s="108">
        <v>9549117</v>
      </c>
      <c r="P99" t="s">
        <v>62</v>
      </c>
      <c r="Q99" s="100" t="s">
        <v>63</v>
      </c>
      <c r="R99" s="61">
        <f>SUM(C99:E99)</f>
        <v>32281116</v>
      </c>
      <c r="S99" s="61">
        <f>SUM(F99:H99)</f>
        <v>19952838</v>
      </c>
      <c r="T99" s="61">
        <f>SUM(I99:K99)</f>
        <v>31179712</v>
      </c>
      <c r="U99" s="61">
        <f>SUM(L99:N99)</f>
        <v>25383797</v>
      </c>
      <c r="V99" s="61">
        <f>SUM(C99:N99)</f>
        <v>108797463</v>
      </c>
      <c r="X99" s="62"/>
    </row>
    <row r="100" spans="1:24">
      <c r="A100" t="s">
        <v>64</v>
      </c>
      <c r="B100" s="100" t="s">
        <v>65</v>
      </c>
      <c r="C100" s="104">
        <v>4809256.9959999993</v>
      </c>
      <c r="D100" s="104">
        <v>3972520</v>
      </c>
      <c r="E100" s="104">
        <v>4140374</v>
      </c>
      <c r="F100" s="104">
        <v>3267251</v>
      </c>
      <c r="G100" s="104">
        <v>4258161</v>
      </c>
      <c r="H100" s="104">
        <v>4445063</v>
      </c>
      <c r="I100" s="104">
        <v>5186469</v>
      </c>
      <c r="J100" s="57">
        <v>4644244</v>
      </c>
      <c r="K100" s="104">
        <v>5092201</v>
      </c>
      <c r="L100" s="104">
        <v>4420720</v>
      </c>
      <c r="M100" s="104">
        <v>3972954</v>
      </c>
      <c r="N100" s="108">
        <v>3700650</v>
      </c>
      <c r="P100" t="s">
        <v>64</v>
      </c>
      <c r="Q100" s="100" t="s">
        <v>65</v>
      </c>
      <c r="R100" s="61">
        <f t="shared" ref="R100:R116" si="29">SUM(C100:E100)</f>
        <v>12922150.995999999</v>
      </c>
      <c r="S100" s="61">
        <f t="shared" ref="S100:S116" si="30">SUM(F100:H100)</f>
        <v>11970475</v>
      </c>
      <c r="T100" s="61">
        <f t="shared" ref="T100:T116" si="31">SUM(I100:K100)</f>
        <v>14922914</v>
      </c>
      <c r="U100" s="61">
        <f t="shared" ref="U100:U116" si="32">SUM(L100:N100)</f>
        <v>12094324</v>
      </c>
      <c r="V100" s="61">
        <f t="shared" ref="V100:V116" si="33">SUM(C100:N100)</f>
        <v>51909863.995999999</v>
      </c>
      <c r="X100" s="62"/>
    </row>
    <row r="101" spans="1:24">
      <c r="A101" t="s">
        <v>66</v>
      </c>
      <c r="B101" s="100" t="s">
        <v>67</v>
      </c>
      <c r="C101" s="104">
        <v>5622440</v>
      </c>
      <c r="D101" s="104">
        <v>5332627</v>
      </c>
      <c r="E101" s="104">
        <v>5432403</v>
      </c>
      <c r="F101" s="104">
        <v>5351345</v>
      </c>
      <c r="G101" s="104">
        <v>5881742</v>
      </c>
      <c r="H101" s="104">
        <v>5823424</v>
      </c>
      <c r="I101" s="104">
        <v>6026554</v>
      </c>
      <c r="J101" s="57">
        <v>5696082</v>
      </c>
      <c r="K101" s="120">
        <v>5162415</v>
      </c>
      <c r="L101" s="120">
        <v>4787122</v>
      </c>
      <c r="M101" s="120">
        <v>5091295</v>
      </c>
      <c r="N101" s="108">
        <v>4570313</v>
      </c>
      <c r="P101" t="s">
        <v>66</v>
      </c>
      <c r="Q101" s="100" t="s">
        <v>67</v>
      </c>
      <c r="R101" s="61">
        <f t="shared" si="29"/>
        <v>16387470</v>
      </c>
      <c r="S101" s="61">
        <f t="shared" si="30"/>
        <v>17056511</v>
      </c>
      <c r="T101" s="61">
        <f t="shared" si="31"/>
        <v>16885051</v>
      </c>
      <c r="U101" s="61">
        <f t="shared" si="32"/>
        <v>14448730</v>
      </c>
      <c r="V101" s="61">
        <f t="shared" si="33"/>
        <v>64777762</v>
      </c>
      <c r="X101" s="62"/>
    </row>
    <row r="102" spans="1:24">
      <c r="A102" t="s">
        <v>68</v>
      </c>
      <c r="B102" s="100" t="s">
        <v>69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09">
        <v>0</v>
      </c>
      <c r="I102" s="109">
        <v>0</v>
      </c>
      <c r="J102" s="60">
        <v>0</v>
      </c>
      <c r="K102" s="109">
        <v>0</v>
      </c>
      <c r="L102" s="109">
        <v>0</v>
      </c>
      <c r="M102" s="110">
        <v>0</v>
      </c>
      <c r="N102" s="110">
        <v>0</v>
      </c>
      <c r="P102" t="s">
        <v>68</v>
      </c>
      <c r="Q102" s="100" t="s">
        <v>69</v>
      </c>
      <c r="R102" s="61">
        <f t="shared" si="29"/>
        <v>0</v>
      </c>
      <c r="S102" s="61">
        <f t="shared" si="30"/>
        <v>0</v>
      </c>
      <c r="T102" s="61">
        <f t="shared" si="31"/>
        <v>0</v>
      </c>
      <c r="U102" s="61">
        <f t="shared" si="32"/>
        <v>0</v>
      </c>
      <c r="V102" s="61">
        <f t="shared" si="33"/>
        <v>0</v>
      </c>
      <c r="X102" s="62"/>
    </row>
    <row r="103" spans="1:24">
      <c r="A103" t="s">
        <v>70</v>
      </c>
      <c r="B103" s="100" t="s">
        <v>71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60">
        <v>0</v>
      </c>
      <c r="K103" s="109">
        <v>0</v>
      </c>
      <c r="L103" s="109">
        <v>0</v>
      </c>
      <c r="M103" s="109">
        <v>0</v>
      </c>
      <c r="N103" s="109">
        <v>0</v>
      </c>
      <c r="P103" t="s">
        <v>70</v>
      </c>
      <c r="Q103" s="100" t="s">
        <v>71</v>
      </c>
      <c r="R103" s="61">
        <f t="shared" si="29"/>
        <v>0</v>
      </c>
      <c r="S103" s="61">
        <f t="shared" si="30"/>
        <v>0</v>
      </c>
      <c r="T103" s="61">
        <f t="shared" si="31"/>
        <v>0</v>
      </c>
      <c r="U103" s="61">
        <f t="shared" si="32"/>
        <v>0</v>
      </c>
      <c r="V103" s="61">
        <f t="shared" si="33"/>
        <v>0</v>
      </c>
      <c r="X103" s="62"/>
    </row>
    <row r="104" spans="1:24">
      <c r="A104" s="111" t="s">
        <v>72</v>
      </c>
      <c r="B104" s="100"/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60">
        <v>0</v>
      </c>
      <c r="K104" s="109">
        <v>0</v>
      </c>
      <c r="L104" s="109">
        <v>0</v>
      </c>
      <c r="M104" s="109">
        <v>0</v>
      </c>
      <c r="N104" s="109">
        <v>0</v>
      </c>
      <c r="P104" t="s">
        <v>72</v>
      </c>
      <c r="Q104" s="100"/>
      <c r="R104" s="61">
        <f>SUM(C104:E104)</f>
        <v>0</v>
      </c>
      <c r="S104" s="61">
        <f>SUM(F104:H104)</f>
        <v>0</v>
      </c>
      <c r="T104" s="61">
        <f>SUM(I104:K104)</f>
        <v>0</v>
      </c>
      <c r="U104" s="61">
        <f>SUM(L104:N104)</f>
        <v>0</v>
      </c>
      <c r="V104" s="61">
        <f>SUM(C104:N104)</f>
        <v>0</v>
      </c>
      <c r="X104" s="62"/>
    </row>
    <row r="105" spans="1:24">
      <c r="A105" t="s">
        <v>73</v>
      </c>
      <c r="B105" s="100" t="s">
        <v>74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60">
        <v>0</v>
      </c>
      <c r="K105" s="109">
        <v>0</v>
      </c>
      <c r="L105" s="109">
        <v>0</v>
      </c>
      <c r="M105" s="109">
        <v>0</v>
      </c>
      <c r="N105" s="109">
        <v>0</v>
      </c>
      <c r="P105" t="s">
        <v>73</v>
      </c>
      <c r="Q105" s="100" t="s">
        <v>74</v>
      </c>
      <c r="R105" s="61">
        <f t="shared" si="29"/>
        <v>0</v>
      </c>
      <c r="S105" s="61">
        <f t="shared" si="30"/>
        <v>0</v>
      </c>
      <c r="T105" s="61">
        <f t="shared" si="31"/>
        <v>0</v>
      </c>
      <c r="U105" s="61">
        <f t="shared" si="32"/>
        <v>0</v>
      </c>
      <c r="V105" s="61">
        <f t="shared" si="33"/>
        <v>0</v>
      </c>
      <c r="X105" s="62"/>
    </row>
    <row r="106" spans="1:24">
      <c r="A106" t="s">
        <v>75</v>
      </c>
      <c r="B106" s="100" t="s">
        <v>76</v>
      </c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60">
        <v>0</v>
      </c>
      <c r="K106" s="109">
        <v>0</v>
      </c>
      <c r="L106" s="109">
        <v>0</v>
      </c>
      <c r="M106" s="109">
        <v>0</v>
      </c>
      <c r="N106" s="109">
        <v>0</v>
      </c>
      <c r="P106" t="s">
        <v>75</v>
      </c>
      <c r="Q106" s="100" t="s">
        <v>76</v>
      </c>
      <c r="R106" s="61">
        <f t="shared" si="29"/>
        <v>0</v>
      </c>
      <c r="S106" s="61">
        <f t="shared" si="30"/>
        <v>0</v>
      </c>
      <c r="T106" s="61">
        <f t="shared" si="31"/>
        <v>0</v>
      </c>
      <c r="U106" s="61">
        <f t="shared" si="32"/>
        <v>0</v>
      </c>
      <c r="V106" s="61">
        <f t="shared" si="33"/>
        <v>0</v>
      </c>
      <c r="X106" s="62"/>
    </row>
    <row r="107" spans="1:24">
      <c r="A107" t="s">
        <v>77</v>
      </c>
      <c r="B107" s="100" t="s">
        <v>78</v>
      </c>
      <c r="C107" s="104">
        <v>1019632</v>
      </c>
      <c r="D107" s="104">
        <v>881488</v>
      </c>
      <c r="E107" s="104">
        <v>802549</v>
      </c>
      <c r="F107" s="104">
        <v>565731</v>
      </c>
      <c r="G107" s="104">
        <v>631514</v>
      </c>
      <c r="H107" s="104">
        <v>805838</v>
      </c>
      <c r="I107" s="104">
        <v>1006476</v>
      </c>
      <c r="J107" s="57">
        <v>953849</v>
      </c>
      <c r="K107" s="104">
        <v>901223</v>
      </c>
      <c r="L107" s="104">
        <v>641382</v>
      </c>
      <c r="M107" s="104">
        <v>782814</v>
      </c>
      <c r="N107" s="108">
        <v>865043</v>
      </c>
      <c r="P107" t="s">
        <v>77</v>
      </c>
      <c r="Q107" s="100" t="s">
        <v>78</v>
      </c>
      <c r="R107" s="61">
        <f t="shared" si="29"/>
        <v>2703669</v>
      </c>
      <c r="S107" s="61">
        <f t="shared" si="30"/>
        <v>2003083</v>
      </c>
      <c r="T107" s="61">
        <f t="shared" si="31"/>
        <v>2861548</v>
      </c>
      <c r="U107" s="61">
        <f t="shared" si="32"/>
        <v>2289239</v>
      </c>
      <c r="V107" s="61">
        <f t="shared" si="33"/>
        <v>9857539</v>
      </c>
      <c r="X107" s="62"/>
    </row>
    <row r="108" spans="1:24">
      <c r="A108" t="s">
        <v>79</v>
      </c>
      <c r="B108" s="100" t="s">
        <v>80</v>
      </c>
      <c r="C108" s="104">
        <v>173462.40599999999</v>
      </c>
      <c r="D108" s="104">
        <v>150882.68399999998</v>
      </c>
      <c r="E108" s="104">
        <v>147646.00000000003</v>
      </c>
      <c r="F108" s="104">
        <v>127684</v>
      </c>
      <c r="G108" s="104">
        <v>123745</v>
      </c>
      <c r="H108" s="104">
        <v>121017</v>
      </c>
      <c r="I108" s="104">
        <v>130616</v>
      </c>
      <c r="J108" s="57">
        <v>135628</v>
      </c>
      <c r="K108" s="104">
        <v>150876</v>
      </c>
      <c r="L108" s="104">
        <v>157434</v>
      </c>
      <c r="M108" s="104">
        <v>163815</v>
      </c>
      <c r="N108" s="108">
        <v>175451</v>
      </c>
      <c r="P108" t="s">
        <v>79</v>
      </c>
      <c r="Q108" s="100" t="s">
        <v>80</v>
      </c>
      <c r="R108" s="61">
        <f t="shared" si="29"/>
        <v>471991.08999999997</v>
      </c>
      <c r="S108" s="61">
        <f t="shared" si="30"/>
        <v>372446</v>
      </c>
      <c r="T108" s="61">
        <f t="shared" si="31"/>
        <v>417120</v>
      </c>
      <c r="U108" s="61">
        <f t="shared" si="32"/>
        <v>496700</v>
      </c>
      <c r="V108" s="61">
        <f t="shared" si="33"/>
        <v>1758257.0899999999</v>
      </c>
      <c r="X108" s="62"/>
    </row>
    <row r="109" spans="1:24">
      <c r="A109" t="s">
        <v>81</v>
      </c>
      <c r="B109" s="100" t="s">
        <v>82</v>
      </c>
      <c r="C109" s="104">
        <v>456918</v>
      </c>
      <c r="D109" s="104">
        <v>460945</v>
      </c>
      <c r="E109" s="104">
        <v>454168</v>
      </c>
      <c r="F109" s="104">
        <v>347057</v>
      </c>
      <c r="G109" s="104">
        <v>382538</v>
      </c>
      <c r="H109" s="104">
        <v>473905</v>
      </c>
      <c r="I109" s="104">
        <v>492533</v>
      </c>
      <c r="J109" s="57">
        <v>407401</v>
      </c>
      <c r="K109" s="104">
        <v>428187</v>
      </c>
      <c r="L109" s="104">
        <v>423083</v>
      </c>
      <c r="M109" s="108">
        <v>358535</v>
      </c>
      <c r="N109" s="108">
        <v>388874</v>
      </c>
      <c r="P109" t="s">
        <v>81</v>
      </c>
      <c r="Q109" s="100" t="s">
        <v>82</v>
      </c>
      <c r="R109" s="61">
        <f t="shared" si="29"/>
        <v>1372031</v>
      </c>
      <c r="S109" s="61">
        <f t="shared" si="30"/>
        <v>1203500</v>
      </c>
      <c r="T109" s="61">
        <f t="shared" si="31"/>
        <v>1328121</v>
      </c>
      <c r="U109" s="61">
        <f t="shared" si="32"/>
        <v>1170492</v>
      </c>
      <c r="V109" s="61">
        <f t="shared" si="33"/>
        <v>5074144</v>
      </c>
      <c r="X109" s="62"/>
    </row>
    <row r="110" spans="1:24">
      <c r="A110" t="s">
        <v>83</v>
      </c>
      <c r="B110" s="100" t="s">
        <v>84</v>
      </c>
      <c r="C110" s="113">
        <v>10881</v>
      </c>
      <c r="D110" s="113">
        <v>11110</v>
      </c>
      <c r="E110" s="113">
        <v>11529</v>
      </c>
      <c r="F110" s="113">
        <v>7204</v>
      </c>
      <c r="G110" s="113">
        <v>5138</v>
      </c>
      <c r="H110" s="113">
        <v>6186</v>
      </c>
      <c r="I110" s="113">
        <v>6286</v>
      </c>
      <c r="J110" s="64">
        <v>5756</v>
      </c>
      <c r="K110" s="113">
        <v>7847</v>
      </c>
      <c r="L110" s="113">
        <v>13440</v>
      </c>
      <c r="M110" s="113">
        <v>13455</v>
      </c>
      <c r="N110" s="113">
        <v>3076</v>
      </c>
      <c r="P110" t="s">
        <v>83</v>
      </c>
      <c r="Q110" s="100" t="s">
        <v>84</v>
      </c>
      <c r="R110" s="65">
        <f>SUM(C110:E110)</f>
        <v>33520</v>
      </c>
      <c r="S110" s="65">
        <f>SUM(F110:H110)</f>
        <v>18528</v>
      </c>
      <c r="T110" s="65">
        <f t="shared" si="31"/>
        <v>19889</v>
      </c>
      <c r="U110" s="65">
        <f t="shared" si="32"/>
        <v>29971</v>
      </c>
      <c r="V110" s="65">
        <f t="shared" si="33"/>
        <v>101908</v>
      </c>
      <c r="X110" s="62"/>
    </row>
    <row r="111" spans="1:24">
      <c r="A111" s="103" t="s">
        <v>85</v>
      </c>
      <c r="C111" s="121">
        <f t="shared" ref="C111:N111" si="34">SUM(C99:C110)</f>
        <v>23857184.401999999</v>
      </c>
      <c r="D111" s="121">
        <f>SUM(D99:D110)</f>
        <v>21366258.684</v>
      </c>
      <c r="E111" s="121">
        <f t="shared" si="34"/>
        <v>20948505</v>
      </c>
      <c r="F111" s="121">
        <f>SUM(F99:F110)</f>
        <v>15228398</v>
      </c>
      <c r="G111" s="121">
        <f t="shared" si="34"/>
        <v>17325253</v>
      </c>
      <c r="H111" s="121">
        <f>SUM(H99:H110)</f>
        <v>20023730</v>
      </c>
      <c r="I111" s="121">
        <f t="shared" si="34"/>
        <v>24490122</v>
      </c>
      <c r="J111" s="76">
        <f t="shared" si="34"/>
        <v>21908365</v>
      </c>
      <c r="K111" s="121">
        <f t="shared" si="34"/>
        <v>21215868</v>
      </c>
      <c r="L111" s="121">
        <f t="shared" si="34"/>
        <v>17432037</v>
      </c>
      <c r="M111" s="121">
        <f t="shared" si="34"/>
        <v>19228692</v>
      </c>
      <c r="N111" s="121">
        <f t="shared" si="34"/>
        <v>19252524</v>
      </c>
      <c r="P111" s="106" t="s">
        <v>85</v>
      </c>
      <c r="R111" s="61">
        <f t="shared" si="29"/>
        <v>66171948.085999995</v>
      </c>
      <c r="S111" s="61">
        <f t="shared" si="30"/>
        <v>52577381</v>
      </c>
      <c r="T111" s="61">
        <f t="shared" si="31"/>
        <v>67614355</v>
      </c>
      <c r="U111" s="61">
        <f t="shared" si="32"/>
        <v>55913253</v>
      </c>
      <c r="V111" s="61">
        <f t="shared" si="33"/>
        <v>242276937.086</v>
      </c>
      <c r="X111" s="62"/>
    </row>
    <row r="112" spans="1:24" ht="15.75" thickBot="1">
      <c r="A112" s="103" t="s">
        <v>86</v>
      </c>
      <c r="C112" s="107">
        <f t="shared" ref="C112:N112" si="35">SUM(C99:C103)+SUM(C108:C110)</f>
        <v>22837552.401999999</v>
      </c>
      <c r="D112" s="107">
        <f>SUM(D99:D103)+SUM(D108:D110)</f>
        <v>20484770.684</v>
      </c>
      <c r="E112" s="107">
        <f t="shared" si="35"/>
        <v>20145956</v>
      </c>
      <c r="F112" s="107">
        <f>SUM(F99:F103)+SUM(F108:F110)</f>
        <v>14662667</v>
      </c>
      <c r="G112" s="107">
        <f t="shared" si="35"/>
        <v>16693739</v>
      </c>
      <c r="H112" s="107">
        <f>SUM(H99:H103)+SUM(H108:H110)</f>
        <v>19217892</v>
      </c>
      <c r="I112" s="107">
        <f t="shared" si="35"/>
        <v>23483646</v>
      </c>
      <c r="J112" s="66">
        <f t="shared" si="35"/>
        <v>20954516</v>
      </c>
      <c r="K112" s="107">
        <f>SUM(K99:K103)+SUM(K108:K110)</f>
        <v>20314645</v>
      </c>
      <c r="L112" s="107">
        <f t="shared" si="35"/>
        <v>16790655</v>
      </c>
      <c r="M112" s="107">
        <f t="shared" si="35"/>
        <v>18445878</v>
      </c>
      <c r="N112" s="107">
        <f t="shared" si="35"/>
        <v>18387481</v>
      </c>
      <c r="P112" s="106" t="s">
        <v>86</v>
      </c>
      <c r="R112" s="67">
        <f t="shared" si="29"/>
        <v>63468279.085999995</v>
      </c>
      <c r="S112" s="67">
        <f t="shared" si="30"/>
        <v>50574298</v>
      </c>
      <c r="T112" s="67">
        <f t="shared" si="31"/>
        <v>64752807</v>
      </c>
      <c r="U112" s="67">
        <f t="shared" si="32"/>
        <v>53624014</v>
      </c>
      <c r="V112" s="67">
        <f t="shared" si="33"/>
        <v>232419398.086</v>
      </c>
      <c r="X112" s="62"/>
    </row>
    <row r="113" spans="1:25" ht="15.75" thickTop="1">
      <c r="A113" s="106"/>
      <c r="C113" s="104"/>
      <c r="D113" s="104"/>
      <c r="E113" s="104"/>
      <c r="F113" s="104"/>
      <c r="G113" s="104"/>
      <c r="H113" s="104"/>
      <c r="I113" s="104"/>
      <c r="K113" s="104"/>
      <c r="L113" s="108"/>
      <c r="M113" s="108"/>
      <c r="N113" s="108"/>
      <c r="P113" s="106"/>
      <c r="R113" s="61"/>
      <c r="S113" s="61"/>
      <c r="T113" s="61"/>
      <c r="U113" s="61"/>
      <c r="V113" s="61"/>
      <c r="X113" s="62"/>
    </row>
    <row r="114" spans="1:25">
      <c r="A114" t="s">
        <v>89</v>
      </c>
      <c r="B114" t="s">
        <v>90</v>
      </c>
      <c r="C114" s="104">
        <v>1127436</v>
      </c>
      <c r="D114" s="104">
        <v>-847400</v>
      </c>
      <c r="E114" s="104">
        <v>-1124566</v>
      </c>
      <c r="F114" s="104">
        <v>-1394593</v>
      </c>
      <c r="G114" s="104">
        <v>443220</v>
      </c>
      <c r="H114" s="104">
        <v>1218320</v>
      </c>
      <c r="I114" s="104">
        <v>1623369</v>
      </c>
      <c r="J114" s="57">
        <v>-298315</v>
      </c>
      <c r="K114" s="104">
        <v>-918482</v>
      </c>
      <c r="L114" s="108">
        <v>-1009596</v>
      </c>
      <c r="M114" s="108">
        <v>775452</v>
      </c>
      <c r="N114" s="108">
        <v>198062</v>
      </c>
      <c r="P114" t="s">
        <v>91</v>
      </c>
      <c r="Q114" t="s">
        <v>90</v>
      </c>
      <c r="R114" s="61">
        <f t="shared" si="29"/>
        <v>-844530</v>
      </c>
      <c r="S114" s="61">
        <f t="shared" si="30"/>
        <v>266947</v>
      </c>
      <c r="T114" s="61">
        <f t="shared" si="31"/>
        <v>406572</v>
      </c>
      <c r="U114" s="61">
        <f t="shared" si="32"/>
        <v>-36082</v>
      </c>
      <c r="V114" s="61">
        <f t="shared" si="33"/>
        <v>-207093</v>
      </c>
      <c r="X114" s="62"/>
    </row>
    <row r="115" spans="1:25">
      <c r="A115" s="106"/>
      <c r="B115" t="s">
        <v>92</v>
      </c>
      <c r="C115" s="104">
        <v>554858</v>
      </c>
      <c r="D115" s="104">
        <v>-402561</v>
      </c>
      <c r="E115" s="104">
        <v>-349015</v>
      </c>
      <c r="F115" s="104">
        <v>-325477</v>
      </c>
      <c r="G115" s="104">
        <v>576322</v>
      </c>
      <c r="H115" s="104">
        <v>435395</v>
      </c>
      <c r="I115" s="104">
        <v>433643</v>
      </c>
      <c r="J115" s="57">
        <v>-182619</v>
      </c>
      <c r="K115" s="104">
        <v>-226247</v>
      </c>
      <c r="L115" s="108">
        <v>-275419</v>
      </c>
      <c r="M115" s="108">
        <v>51807</v>
      </c>
      <c r="N115" s="108">
        <v>-191949</v>
      </c>
      <c r="P115" s="106" t="s">
        <v>93</v>
      </c>
      <c r="Q115" t="s">
        <v>92</v>
      </c>
      <c r="R115" s="61">
        <f t="shared" si="29"/>
        <v>-196718</v>
      </c>
      <c r="S115" s="61">
        <f t="shared" si="30"/>
        <v>686240</v>
      </c>
      <c r="T115" s="61">
        <f t="shared" si="31"/>
        <v>24777</v>
      </c>
      <c r="U115" s="61">
        <f t="shared" si="32"/>
        <v>-415561</v>
      </c>
      <c r="V115" s="61">
        <f t="shared" si="33"/>
        <v>98738</v>
      </c>
      <c r="X115" s="62"/>
    </row>
    <row r="116" spans="1:25">
      <c r="B116" t="s">
        <v>94</v>
      </c>
      <c r="C116" s="104">
        <v>35513</v>
      </c>
      <c r="D116" s="104">
        <v>-44084</v>
      </c>
      <c r="E116" s="104">
        <v>-94607</v>
      </c>
      <c r="F116" s="104">
        <v>-54115</v>
      </c>
      <c r="G116" s="104">
        <v>144349</v>
      </c>
      <c r="H116" s="104">
        <v>104363</v>
      </c>
      <c r="I116" s="104">
        <v>72859</v>
      </c>
      <c r="J116" s="57">
        <v>-48920</v>
      </c>
      <c r="K116" s="104">
        <v>-100119</v>
      </c>
      <c r="L116" s="108">
        <v>-28226</v>
      </c>
      <c r="M116" s="108">
        <v>55848</v>
      </c>
      <c r="N116" s="108">
        <v>-43204</v>
      </c>
      <c r="Q116" t="s">
        <v>94</v>
      </c>
      <c r="R116" s="61">
        <f t="shared" si="29"/>
        <v>-103178</v>
      </c>
      <c r="S116" s="61">
        <f t="shared" si="30"/>
        <v>194597</v>
      </c>
      <c r="T116" s="61">
        <f t="shared" si="31"/>
        <v>-76180</v>
      </c>
      <c r="U116" s="61">
        <f t="shared" si="32"/>
        <v>-15582</v>
      </c>
      <c r="V116" s="61">
        <f t="shared" si="33"/>
        <v>-343</v>
      </c>
      <c r="X116" s="62"/>
    </row>
    <row r="117" spans="1:25">
      <c r="C117" s="104"/>
      <c r="D117" s="104"/>
      <c r="E117" s="104"/>
      <c r="F117" s="104"/>
      <c r="G117" s="104"/>
      <c r="H117" s="104"/>
      <c r="I117" s="104"/>
      <c r="K117" s="104"/>
      <c r="L117" s="108"/>
      <c r="M117" s="108"/>
      <c r="N117" s="108"/>
      <c r="R117" s="61"/>
      <c r="S117" s="61"/>
      <c r="T117" s="61"/>
      <c r="U117" s="61"/>
      <c r="V117" s="61"/>
      <c r="X117" s="62"/>
    </row>
    <row r="118" spans="1:25">
      <c r="C118" s="104"/>
      <c r="D118" s="104"/>
      <c r="E118" s="104"/>
      <c r="F118" s="104"/>
      <c r="G118" s="104"/>
      <c r="H118" s="104"/>
      <c r="I118" s="104"/>
      <c r="K118" s="104"/>
      <c r="L118" s="108"/>
      <c r="M118" s="108"/>
      <c r="N118" s="108"/>
      <c r="R118" s="61"/>
      <c r="S118" s="61"/>
      <c r="T118" s="61"/>
      <c r="U118" s="61"/>
      <c r="V118" s="61"/>
      <c r="X118" s="62"/>
    </row>
    <row r="119" spans="1:25">
      <c r="C119" s="104"/>
      <c r="D119" s="104"/>
      <c r="E119" s="104"/>
      <c r="F119" s="104"/>
      <c r="G119" s="104"/>
      <c r="H119" s="104"/>
      <c r="I119" s="104"/>
      <c r="K119" s="104"/>
      <c r="L119" s="108"/>
      <c r="M119" s="108"/>
      <c r="N119" s="108"/>
      <c r="R119" s="61"/>
      <c r="S119" s="61"/>
      <c r="T119" s="61"/>
      <c r="U119" s="61"/>
      <c r="V119" s="61"/>
      <c r="X119" s="62"/>
    </row>
    <row r="120" spans="1:25">
      <c r="C120" s="104"/>
      <c r="D120" s="104"/>
      <c r="E120" s="104"/>
      <c r="F120" s="104"/>
      <c r="G120" s="104"/>
      <c r="H120" s="104"/>
      <c r="I120" s="104"/>
      <c r="K120" s="104"/>
      <c r="L120" s="108"/>
      <c r="M120" s="108"/>
      <c r="N120" s="108"/>
    </row>
    <row r="121" spans="1:25">
      <c r="A121" s="98" t="s">
        <v>101</v>
      </c>
      <c r="C121" s="104"/>
      <c r="D121" s="104"/>
      <c r="E121" s="104"/>
      <c r="F121" s="104"/>
      <c r="G121" s="104"/>
      <c r="H121" s="104"/>
      <c r="I121" s="104"/>
      <c r="K121" s="104"/>
      <c r="L121" s="108"/>
      <c r="M121" s="104"/>
      <c r="N121" s="104"/>
      <c r="P121" s="98" t="s">
        <v>101</v>
      </c>
    </row>
    <row r="122" spans="1:25">
      <c r="A122" t="s">
        <v>62</v>
      </c>
      <c r="B122" s="100" t="s">
        <v>63</v>
      </c>
      <c r="C122" s="114">
        <v>1173054.2</v>
      </c>
      <c r="D122" s="114">
        <v>1363482.6600000001</v>
      </c>
      <c r="E122" s="114">
        <v>1179169.44</v>
      </c>
      <c r="F122" s="122">
        <v>694747.02</v>
      </c>
      <c r="G122" s="114">
        <v>735948.26</v>
      </c>
      <c r="H122" s="114">
        <v>1018032.8300000002</v>
      </c>
      <c r="I122" s="114">
        <v>1427107.4900000002</v>
      </c>
      <c r="J122" s="69">
        <v>1254274.1100000001</v>
      </c>
      <c r="K122" s="114">
        <v>1164033.3700000001</v>
      </c>
      <c r="L122" s="114">
        <v>911667.48999999987</v>
      </c>
      <c r="M122" s="114">
        <v>1103604.4500000002</v>
      </c>
      <c r="N122" s="114">
        <v>1137314.4100000001</v>
      </c>
      <c r="P122" t="s">
        <v>62</v>
      </c>
      <c r="Q122" s="100" t="s">
        <v>63</v>
      </c>
      <c r="R122" s="70">
        <f t="shared" ref="R122:R139" si="36">SUM(C122:E122)</f>
        <v>3715706.3000000003</v>
      </c>
      <c r="S122" s="70">
        <f t="shared" ref="S122:S139" si="37">SUM(F122:H122)</f>
        <v>2448728.1100000003</v>
      </c>
      <c r="T122" s="70">
        <f t="shared" ref="T122:T139" si="38">SUM(I122:K122)</f>
        <v>3845414.9700000007</v>
      </c>
      <c r="U122" s="70">
        <f t="shared" ref="U122:U139" si="39">SUM(L122:N122)</f>
        <v>3152586.35</v>
      </c>
      <c r="V122" s="70">
        <f t="shared" ref="V122:V139" si="40">SUM(C122:N122)</f>
        <v>13162435.73</v>
      </c>
      <c r="X122" s="62"/>
      <c r="Y122" s="62"/>
    </row>
    <row r="123" spans="1:25">
      <c r="A123" t="s">
        <v>64</v>
      </c>
      <c r="B123" s="100" t="s">
        <v>65</v>
      </c>
      <c r="C123" s="114">
        <v>520772.44</v>
      </c>
      <c r="D123" s="114">
        <v>546186.9</v>
      </c>
      <c r="E123" s="114">
        <v>523392.94</v>
      </c>
      <c r="F123" s="122">
        <v>421563.39999999991</v>
      </c>
      <c r="G123" s="114">
        <v>523884.35</v>
      </c>
      <c r="H123" s="114">
        <v>557186.13000000012</v>
      </c>
      <c r="I123" s="114">
        <v>665798.24</v>
      </c>
      <c r="J123" s="69">
        <v>590805.65999999992</v>
      </c>
      <c r="K123" s="114">
        <v>618081.0199999999</v>
      </c>
      <c r="L123" s="114">
        <v>564270.70000000019</v>
      </c>
      <c r="M123" s="114">
        <v>513766.35999999993</v>
      </c>
      <c r="N123" s="114">
        <v>474802.86</v>
      </c>
      <c r="P123" t="s">
        <v>64</v>
      </c>
      <c r="Q123" s="100" t="s">
        <v>65</v>
      </c>
      <c r="R123" s="70">
        <f t="shared" si="36"/>
        <v>1590352.28</v>
      </c>
      <c r="S123" s="70">
        <f t="shared" si="37"/>
        <v>1502633.88</v>
      </c>
      <c r="T123" s="70">
        <f t="shared" si="38"/>
        <v>1874684.92</v>
      </c>
      <c r="U123" s="70">
        <f t="shared" si="39"/>
        <v>1552839.92</v>
      </c>
      <c r="V123" s="70">
        <f t="shared" si="40"/>
        <v>6520511.0000000009</v>
      </c>
      <c r="X123" s="62"/>
      <c r="Y123" s="62"/>
    </row>
    <row r="124" spans="1:25">
      <c r="A124" t="s">
        <v>66</v>
      </c>
      <c r="B124" s="100" t="s">
        <v>67</v>
      </c>
      <c r="C124" s="114">
        <v>423437.13000000006</v>
      </c>
      <c r="D124" s="114">
        <v>510988.49000000005</v>
      </c>
      <c r="E124" s="114">
        <v>499193.17999999993</v>
      </c>
      <c r="F124" s="122">
        <v>459177.38000000006</v>
      </c>
      <c r="G124" s="114">
        <v>484199.43</v>
      </c>
      <c r="H124" s="114">
        <v>512725.36</v>
      </c>
      <c r="I124" s="114">
        <v>536961.97000000009</v>
      </c>
      <c r="J124" s="69">
        <v>510086.43000000005</v>
      </c>
      <c r="K124" s="114">
        <v>411438.86</v>
      </c>
      <c r="L124" s="114">
        <v>451748.77000000008</v>
      </c>
      <c r="M124" s="114">
        <v>464557.15999999992</v>
      </c>
      <c r="N124" s="114">
        <v>411463.46999999991</v>
      </c>
      <c r="P124" t="s">
        <v>66</v>
      </c>
      <c r="Q124" s="100" t="s">
        <v>67</v>
      </c>
      <c r="R124" s="70">
        <f t="shared" si="36"/>
        <v>1433618.8</v>
      </c>
      <c r="S124" s="70">
        <f t="shared" si="37"/>
        <v>1456102.17</v>
      </c>
      <c r="T124" s="70">
        <f t="shared" si="38"/>
        <v>1458487.2600000002</v>
      </c>
      <c r="U124" s="70">
        <f t="shared" si="39"/>
        <v>1327769.3999999999</v>
      </c>
      <c r="V124" s="70">
        <f t="shared" si="40"/>
        <v>5675977.6300000008</v>
      </c>
      <c r="X124" s="62"/>
      <c r="Y124" s="62"/>
    </row>
    <row r="125" spans="1:25">
      <c r="A125" t="s">
        <v>68</v>
      </c>
      <c r="B125" s="100" t="s">
        <v>69</v>
      </c>
      <c r="C125" s="116">
        <v>0</v>
      </c>
      <c r="D125" s="116">
        <v>0</v>
      </c>
      <c r="E125" s="116">
        <v>0</v>
      </c>
      <c r="F125" s="123">
        <v>0</v>
      </c>
      <c r="G125" s="116">
        <v>0</v>
      </c>
      <c r="H125" s="116">
        <v>0</v>
      </c>
      <c r="I125" s="116">
        <v>0</v>
      </c>
      <c r="J125" s="71">
        <v>0</v>
      </c>
      <c r="K125" s="116">
        <v>0</v>
      </c>
      <c r="L125" s="116">
        <v>0</v>
      </c>
      <c r="M125" s="116">
        <v>0</v>
      </c>
      <c r="N125" s="116">
        <v>0</v>
      </c>
      <c r="P125" t="s">
        <v>68</v>
      </c>
      <c r="Q125" s="100" t="s">
        <v>69</v>
      </c>
      <c r="R125" s="70">
        <f t="shared" si="36"/>
        <v>0</v>
      </c>
      <c r="S125" s="70">
        <f t="shared" si="37"/>
        <v>0</v>
      </c>
      <c r="T125" s="70">
        <f t="shared" si="38"/>
        <v>0</v>
      </c>
      <c r="U125" s="70">
        <f t="shared" si="39"/>
        <v>0</v>
      </c>
      <c r="V125" s="70">
        <f t="shared" si="40"/>
        <v>0</v>
      </c>
      <c r="X125" s="62"/>
    </row>
    <row r="126" spans="1:25">
      <c r="A126" t="s">
        <v>70</v>
      </c>
      <c r="B126" s="100" t="s">
        <v>71</v>
      </c>
      <c r="C126" s="116">
        <v>0</v>
      </c>
      <c r="D126" s="116">
        <v>0</v>
      </c>
      <c r="E126" s="116">
        <v>0</v>
      </c>
      <c r="F126" s="123">
        <v>0</v>
      </c>
      <c r="G126" s="116">
        <v>0</v>
      </c>
      <c r="H126" s="116">
        <v>0</v>
      </c>
      <c r="I126" s="116">
        <v>0</v>
      </c>
      <c r="J126" s="71">
        <v>0</v>
      </c>
      <c r="K126" s="116">
        <v>0</v>
      </c>
      <c r="L126" s="116">
        <v>0</v>
      </c>
      <c r="M126" s="116">
        <v>0</v>
      </c>
      <c r="N126" s="116">
        <v>0</v>
      </c>
      <c r="P126" t="s">
        <v>70</v>
      </c>
      <c r="Q126" s="100" t="s">
        <v>71</v>
      </c>
      <c r="R126" s="70">
        <f t="shared" si="36"/>
        <v>0</v>
      </c>
      <c r="S126" s="70">
        <f t="shared" si="37"/>
        <v>0</v>
      </c>
      <c r="T126" s="70">
        <f t="shared" si="38"/>
        <v>0</v>
      </c>
      <c r="U126" s="70">
        <f t="shared" si="39"/>
        <v>0</v>
      </c>
      <c r="V126" s="70">
        <f t="shared" si="40"/>
        <v>0</v>
      </c>
      <c r="X126" s="62"/>
    </row>
    <row r="127" spans="1:25">
      <c r="A127" s="111" t="s">
        <v>88</v>
      </c>
      <c r="B127" s="100"/>
      <c r="C127" s="116">
        <v>0</v>
      </c>
      <c r="D127" s="116">
        <v>0</v>
      </c>
      <c r="E127" s="116">
        <v>0</v>
      </c>
      <c r="F127" s="123">
        <v>0</v>
      </c>
      <c r="G127" s="116">
        <v>0</v>
      </c>
      <c r="H127" s="116">
        <v>0</v>
      </c>
      <c r="I127" s="116">
        <v>0</v>
      </c>
      <c r="J127" s="71">
        <v>0</v>
      </c>
      <c r="K127" s="116">
        <v>0</v>
      </c>
      <c r="L127" s="116">
        <v>0</v>
      </c>
      <c r="M127" s="116">
        <v>0</v>
      </c>
      <c r="N127" s="116">
        <v>0</v>
      </c>
      <c r="P127" t="s">
        <v>72</v>
      </c>
      <c r="Q127" s="100"/>
      <c r="R127" s="70">
        <f>SUM(C127:E127)</f>
        <v>0</v>
      </c>
      <c r="S127" s="70">
        <f>SUM(F127:H127)</f>
        <v>0</v>
      </c>
      <c r="T127" s="70">
        <f>SUM(I127:K127)</f>
        <v>0</v>
      </c>
      <c r="U127" s="70">
        <f>SUM(L127:N127)</f>
        <v>0</v>
      </c>
      <c r="V127" s="70">
        <f>SUM(C127:N127)</f>
        <v>0</v>
      </c>
      <c r="X127" s="62"/>
    </row>
    <row r="128" spans="1:25">
      <c r="A128" t="s">
        <v>73</v>
      </c>
      <c r="B128" s="100" t="s">
        <v>74</v>
      </c>
      <c r="C128" s="116">
        <v>0</v>
      </c>
      <c r="D128" s="116">
        <v>0</v>
      </c>
      <c r="E128" s="116">
        <v>0</v>
      </c>
      <c r="F128" s="123">
        <v>0</v>
      </c>
      <c r="G128" s="116">
        <v>0</v>
      </c>
      <c r="H128" s="116">
        <v>0</v>
      </c>
      <c r="I128" s="116">
        <v>0</v>
      </c>
      <c r="J128" s="71">
        <v>0</v>
      </c>
      <c r="K128" s="116">
        <v>0</v>
      </c>
      <c r="L128" s="116">
        <v>0</v>
      </c>
      <c r="M128" s="116">
        <v>0</v>
      </c>
      <c r="N128" s="116">
        <v>0</v>
      </c>
      <c r="P128" t="s">
        <v>73</v>
      </c>
      <c r="Q128" s="100" t="s">
        <v>74</v>
      </c>
      <c r="R128" s="70">
        <f t="shared" si="36"/>
        <v>0</v>
      </c>
      <c r="S128" s="70">
        <f t="shared" si="37"/>
        <v>0</v>
      </c>
      <c r="T128" s="70">
        <f t="shared" si="38"/>
        <v>0</v>
      </c>
      <c r="U128" s="70">
        <f t="shared" si="39"/>
        <v>0</v>
      </c>
      <c r="V128" s="70">
        <f t="shared" si="40"/>
        <v>0</v>
      </c>
      <c r="X128" s="62"/>
    </row>
    <row r="129" spans="1:25">
      <c r="A129" t="s">
        <v>75</v>
      </c>
      <c r="B129" s="100" t="s">
        <v>76</v>
      </c>
      <c r="C129" s="116">
        <v>0</v>
      </c>
      <c r="D129" s="116">
        <v>0</v>
      </c>
      <c r="E129" s="116">
        <v>0</v>
      </c>
      <c r="F129" s="123">
        <v>0</v>
      </c>
      <c r="G129" s="116">
        <v>0</v>
      </c>
      <c r="H129" s="116">
        <v>0</v>
      </c>
      <c r="I129" s="116">
        <v>0</v>
      </c>
      <c r="J129" s="71">
        <v>0</v>
      </c>
      <c r="K129" s="116">
        <v>0</v>
      </c>
      <c r="L129" s="116">
        <v>0</v>
      </c>
      <c r="M129" s="116">
        <v>0</v>
      </c>
      <c r="N129" s="116">
        <v>0</v>
      </c>
      <c r="P129" t="s">
        <v>75</v>
      </c>
      <c r="Q129" s="100" t="s">
        <v>76</v>
      </c>
      <c r="R129" s="70">
        <f t="shared" si="36"/>
        <v>0</v>
      </c>
      <c r="S129" s="70">
        <f t="shared" si="37"/>
        <v>0</v>
      </c>
      <c r="T129" s="70">
        <f t="shared" si="38"/>
        <v>0</v>
      </c>
      <c r="U129" s="70">
        <f t="shared" si="39"/>
        <v>0</v>
      </c>
      <c r="V129" s="70">
        <f t="shared" si="40"/>
        <v>0</v>
      </c>
      <c r="X129" s="62"/>
      <c r="Y129" s="62"/>
    </row>
    <row r="130" spans="1:25">
      <c r="A130" t="s">
        <v>77</v>
      </c>
      <c r="B130" s="100" t="s">
        <v>78</v>
      </c>
      <c r="C130" s="114">
        <v>79848.5</v>
      </c>
      <c r="D130" s="114">
        <v>70500.709999999992</v>
      </c>
      <c r="E130" s="114">
        <v>65850.720000000001</v>
      </c>
      <c r="F130" s="122">
        <v>49333.960000000006</v>
      </c>
      <c r="G130" s="114">
        <v>54885.59</v>
      </c>
      <c r="H130" s="114">
        <v>41069.040000000001</v>
      </c>
      <c r="I130" s="114">
        <v>51214.83</v>
      </c>
      <c r="J130" s="69">
        <v>53154.51</v>
      </c>
      <c r="K130" s="114">
        <v>46252.57</v>
      </c>
      <c r="L130" s="114">
        <v>41281.100000000006</v>
      </c>
      <c r="M130" s="114">
        <v>39768.880000000005</v>
      </c>
      <c r="N130" s="114">
        <v>42220.35</v>
      </c>
      <c r="P130" t="s">
        <v>77</v>
      </c>
      <c r="Q130" s="100" t="s">
        <v>78</v>
      </c>
      <c r="R130" s="70">
        <f t="shared" si="36"/>
        <v>216199.93</v>
      </c>
      <c r="S130" s="70">
        <f t="shared" si="37"/>
        <v>145288.59</v>
      </c>
      <c r="T130" s="70">
        <f t="shared" si="38"/>
        <v>150621.91</v>
      </c>
      <c r="U130" s="70">
        <f t="shared" si="39"/>
        <v>123270.33000000002</v>
      </c>
      <c r="V130" s="70">
        <f t="shared" si="40"/>
        <v>635380.76</v>
      </c>
      <c r="X130" s="62"/>
      <c r="Y130" s="62"/>
    </row>
    <row r="131" spans="1:25">
      <c r="A131" t="s">
        <v>79</v>
      </c>
      <c r="B131" s="100" t="s">
        <v>80</v>
      </c>
      <c r="C131" s="114">
        <v>20812.610000000004</v>
      </c>
      <c r="D131" s="114">
        <v>22777.510000000002</v>
      </c>
      <c r="E131" s="114">
        <v>22292.54</v>
      </c>
      <c r="F131" s="122">
        <v>21369.16</v>
      </c>
      <c r="G131" s="114">
        <v>21120.109999999997</v>
      </c>
      <c r="H131" s="114">
        <v>22158.68</v>
      </c>
      <c r="I131" s="114">
        <v>23486.619999999995</v>
      </c>
      <c r="J131" s="69">
        <v>22595.839999999993</v>
      </c>
      <c r="K131" s="122">
        <v>20615.48</v>
      </c>
      <c r="L131" s="122">
        <v>22634.100000000006</v>
      </c>
      <c r="M131" s="122">
        <v>22621.34</v>
      </c>
      <c r="N131" s="114">
        <v>22831.379999999997</v>
      </c>
      <c r="P131" t="s">
        <v>79</v>
      </c>
      <c r="Q131" s="100" t="s">
        <v>80</v>
      </c>
      <c r="R131" s="70">
        <f t="shared" si="36"/>
        <v>65882.66</v>
      </c>
      <c r="S131" s="70">
        <f t="shared" si="37"/>
        <v>64647.95</v>
      </c>
      <c r="T131" s="70">
        <f t="shared" si="38"/>
        <v>66697.939999999988</v>
      </c>
      <c r="U131" s="70">
        <f t="shared" si="39"/>
        <v>68086.820000000007</v>
      </c>
      <c r="V131" s="70">
        <f t="shared" si="40"/>
        <v>265315.37</v>
      </c>
      <c r="X131" s="62"/>
      <c r="Y131" s="62"/>
    </row>
    <row r="132" spans="1:25">
      <c r="A132" t="s">
        <v>81</v>
      </c>
      <c r="B132" s="100" t="s">
        <v>82</v>
      </c>
      <c r="C132" s="114">
        <v>46101.590000000004</v>
      </c>
      <c r="D132" s="114">
        <v>54534.26</v>
      </c>
      <c r="E132" s="114">
        <v>52037.32</v>
      </c>
      <c r="F132" s="122">
        <v>41972.05</v>
      </c>
      <c r="G132" s="114">
        <v>44895.6</v>
      </c>
      <c r="H132" s="114">
        <v>55027.400000000009</v>
      </c>
      <c r="I132" s="114">
        <v>59366.09</v>
      </c>
      <c r="J132" s="69">
        <v>51379.55</v>
      </c>
      <c r="K132" s="114">
        <v>50893.62000000001</v>
      </c>
      <c r="L132" s="114">
        <v>48744.289999999994</v>
      </c>
      <c r="M132" s="114">
        <v>44527.67</v>
      </c>
      <c r="N132" s="114">
        <v>45112.81</v>
      </c>
      <c r="P132" t="s">
        <v>81</v>
      </c>
      <c r="Q132" s="100" t="s">
        <v>82</v>
      </c>
      <c r="R132" s="70">
        <f t="shared" si="36"/>
        <v>152673.17000000001</v>
      </c>
      <c r="S132" s="70">
        <f t="shared" si="37"/>
        <v>141895.04999999999</v>
      </c>
      <c r="T132" s="70">
        <f t="shared" si="38"/>
        <v>161639.26</v>
      </c>
      <c r="U132" s="70">
        <f t="shared" si="39"/>
        <v>138384.76999999999</v>
      </c>
      <c r="V132" s="70">
        <f t="shared" si="40"/>
        <v>594592.25</v>
      </c>
      <c r="X132" s="62"/>
      <c r="Y132" s="62"/>
    </row>
    <row r="133" spans="1:25">
      <c r="A133" t="s">
        <v>83</v>
      </c>
      <c r="B133" s="100" t="s">
        <v>84</v>
      </c>
      <c r="C133" s="117">
        <v>2252.16</v>
      </c>
      <c r="D133" s="117">
        <v>2468.09</v>
      </c>
      <c r="E133" s="117">
        <v>2426.88</v>
      </c>
      <c r="F133" s="124">
        <v>1904.9900000000002</v>
      </c>
      <c r="G133" s="117">
        <v>1672.0700000000002</v>
      </c>
      <c r="H133" s="117">
        <v>1827.58</v>
      </c>
      <c r="I133" s="117">
        <v>1863.95</v>
      </c>
      <c r="J133" s="72">
        <v>1433.94</v>
      </c>
      <c r="K133" s="117">
        <v>2030.0700000000002</v>
      </c>
      <c r="L133" s="117">
        <v>2752.7</v>
      </c>
      <c r="M133" s="117">
        <v>2754.58</v>
      </c>
      <c r="N133" s="117">
        <v>1201.96</v>
      </c>
      <c r="P133" t="s">
        <v>83</v>
      </c>
      <c r="Q133" s="100" t="s">
        <v>84</v>
      </c>
      <c r="R133" s="73">
        <f t="shared" si="36"/>
        <v>7147.13</v>
      </c>
      <c r="S133" s="73">
        <f t="shared" si="37"/>
        <v>5404.64</v>
      </c>
      <c r="T133" s="73">
        <f t="shared" si="38"/>
        <v>5327.9600000000009</v>
      </c>
      <c r="U133" s="73">
        <f t="shared" si="39"/>
        <v>6709.24</v>
      </c>
      <c r="V133" s="73">
        <f t="shared" si="40"/>
        <v>24588.97</v>
      </c>
      <c r="X133" s="62"/>
    </row>
    <row r="134" spans="1:25">
      <c r="A134" s="103" t="s">
        <v>85</v>
      </c>
      <c r="C134" s="114">
        <f t="shared" ref="C134:N134" si="41">SUM(C122:C133)</f>
        <v>2266278.63</v>
      </c>
      <c r="D134" s="114">
        <f>SUM(D122:D133)</f>
        <v>2570938.6199999996</v>
      </c>
      <c r="E134" s="114">
        <f t="shared" si="41"/>
        <v>2344363.0199999996</v>
      </c>
      <c r="F134" s="114">
        <f t="shared" si="41"/>
        <v>1690067.96</v>
      </c>
      <c r="G134" s="114">
        <f t="shared" si="41"/>
        <v>1866605.4100000001</v>
      </c>
      <c r="H134" s="114">
        <f>SUM(H122:H133)</f>
        <v>2208027.0200000005</v>
      </c>
      <c r="I134" s="114">
        <f t="shared" si="41"/>
        <v>2765799.1900000004</v>
      </c>
      <c r="J134" s="69">
        <f t="shared" si="41"/>
        <v>2483730.0399999996</v>
      </c>
      <c r="K134" s="114">
        <f t="shared" si="41"/>
        <v>2313344.9899999998</v>
      </c>
      <c r="L134" s="115">
        <f t="shared" si="41"/>
        <v>2043099.1500000001</v>
      </c>
      <c r="M134" s="114">
        <f t="shared" si="41"/>
        <v>2191600.44</v>
      </c>
      <c r="N134" s="114">
        <f t="shared" si="41"/>
        <v>2134947.2399999998</v>
      </c>
      <c r="P134" s="106" t="s">
        <v>85</v>
      </c>
      <c r="R134" s="70">
        <f t="shared" si="36"/>
        <v>7181580.2699999996</v>
      </c>
      <c r="S134" s="70">
        <f t="shared" si="37"/>
        <v>5764700.3900000006</v>
      </c>
      <c r="T134" s="70">
        <f t="shared" si="38"/>
        <v>7562874.2200000007</v>
      </c>
      <c r="U134" s="70">
        <f t="shared" si="39"/>
        <v>6369646.8300000001</v>
      </c>
      <c r="V134" s="70">
        <f t="shared" si="40"/>
        <v>26878801.709999997</v>
      </c>
      <c r="X134" s="62"/>
      <c r="Y134" s="62"/>
    </row>
    <row r="135" spans="1:25" ht="15.75" thickBot="1">
      <c r="A135" s="103" t="s">
        <v>86</v>
      </c>
      <c r="C135" s="118">
        <f t="shared" ref="C135:N135" si="42">SUM(C122:C126)+SUM(C131:C133)</f>
        <v>2186430.13</v>
      </c>
      <c r="D135" s="118">
        <f>SUM(D122:D126)+SUM(D131:D133)</f>
        <v>2500437.91</v>
      </c>
      <c r="E135" s="118">
        <f t="shared" si="42"/>
        <v>2278512.2999999998</v>
      </c>
      <c r="F135" s="118">
        <f t="shared" si="42"/>
        <v>1640734</v>
      </c>
      <c r="G135" s="118">
        <f t="shared" si="42"/>
        <v>1811719.8199999998</v>
      </c>
      <c r="H135" s="118">
        <f>SUM(H122:H126)+SUM(H131:H133)</f>
        <v>2166957.9800000004</v>
      </c>
      <c r="I135" s="118">
        <f t="shared" si="42"/>
        <v>2714584.3600000003</v>
      </c>
      <c r="J135" s="74">
        <f t="shared" si="42"/>
        <v>2430575.5300000003</v>
      </c>
      <c r="K135" s="118">
        <f>SUM(K122:K126)+SUM(K131:K133)</f>
        <v>2267092.42</v>
      </c>
      <c r="L135" s="118">
        <f t="shared" si="42"/>
        <v>2001818.05</v>
      </c>
      <c r="M135" s="118">
        <f t="shared" si="42"/>
        <v>2151831.56</v>
      </c>
      <c r="N135" s="118">
        <f t="shared" si="42"/>
        <v>2092726.89</v>
      </c>
      <c r="P135" s="106" t="s">
        <v>86</v>
      </c>
      <c r="R135" s="75">
        <f t="shared" si="36"/>
        <v>6965380.3399999999</v>
      </c>
      <c r="S135" s="75">
        <f t="shared" si="37"/>
        <v>5619411.8000000007</v>
      </c>
      <c r="T135" s="75">
        <f t="shared" si="38"/>
        <v>7412252.3100000005</v>
      </c>
      <c r="U135" s="75">
        <f t="shared" si="39"/>
        <v>6246376.5</v>
      </c>
      <c r="V135" s="75">
        <f t="shared" si="40"/>
        <v>26243420.950000003</v>
      </c>
      <c r="X135" s="62"/>
      <c r="Y135" s="62"/>
    </row>
    <row r="136" spans="1:25" ht="15.75" thickTop="1">
      <c r="A136" s="106"/>
      <c r="C136" s="114"/>
      <c r="D136" s="114"/>
      <c r="E136" s="114"/>
      <c r="F136" s="114"/>
      <c r="G136" s="114"/>
      <c r="H136" s="114"/>
      <c r="I136" s="114"/>
      <c r="J136" s="69"/>
      <c r="K136" s="114"/>
      <c r="L136" s="115"/>
      <c r="M136" s="114"/>
      <c r="N136" s="114"/>
      <c r="P136" s="106"/>
      <c r="R136" s="70"/>
      <c r="S136" s="70"/>
      <c r="T136" s="70"/>
      <c r="U136" s="70"/>
      <c r="V136" s="70"/>
      <c r="X136" s="62"/>
      <c r="Y136" s="62"/>
    </row>
    <row r="137" spans="1:25">
      <c r="A137" t="s">
        <v>89</v>
      </c>
      <c r="B137" t="s">
        <v>90</v>
      </c>
      <c r="C137" s="114">
        <v>94132</v>
      </c>
      <c r="D137" s="114">
        <v>14142</v>
      </c>
      <c r="E137" s="114">
        <v>-107229</v>
      </c>
      <c r="F137" s="114">
        <v>-167915</v>
      </c>
      <c r="G137" s="114">
        <v>33843</v>
      </c>
      <c r="H137" s="114">
        <v>135800</v>
      </c>
      <c r="I137" s="114">
        <v>211374</v>
      </c>
      <c r="J137" s="69">
        <v>-25107</v>
      </c>
      <c r="K137" s="114">
        <v>-105188</v>
      </c>
      <c r="L137" s="115">
        <v>-114541</v>
      </c>
      <c r="M137" s="114">
        <v>73249</v>
      </c>
      <c r="N137" s="114">
        <v>-7653</v>
      </c>
      <c r="P137" t="s">
        <v>96</v>
      </c>
      <c r="Q137" t="s">
        <v>90</v>
      </c>
      <c r="R137" s="70">
        <f t="shared" si="36"/>
        <v>1045</v>
      </c>
      <c r="S137" s="70">
        <f t="shared" si="37"/>
        <v>1728</v>
      </c>
      <c r="T137" s="70">
        <f t="shared" si="38"/>
        <v>81079</v>
      </c>
      <c r="U137" s="70">
        <f t="shared" si="39"/>
        <v>-48945</v>
      </c>
      <c r="V137" s="70">
        <f t="shared" si="40"/>
        <v>34907</v>
      </c>
      <c r="X137" s="62"/>
      <c r="Y137" s="62"/>
    </row>
    <row r="138" spans="1:25">
      <c r="A138" s="106"/>
      <c r="B138" t="s">
        <v>92</v>
      </c>
      <c r="C138" s="114">
        <v>52753</v>
      </c>
      <c r="D138" s="114">
        <v>-10361</v>
      </c>
      <c r="E138" s="114">
        <v>-36852</v>
      </c>
      <c r="F138" s="114">
        <v>-42283</v>
      </c>
      <c r="G138" s="114">
        <v>64531</v>
      </c>
      <c r="H138" s="114">
        <v>52227</v>
      </c>
      <c r="I138" s="114">
        <v>64426</v>
      </c>
      <c r="J138" s="69">
        <v>-23563</v>
      </c>
      <c r="K138" s="114">
        <v>-30597</v>
      </c>
      <c r="L138" s="115">
        <v>-26778</v>
      </c>
      <c r="M138" s="114">
        <v>5797</v>
      </c>
      <c r="N138" s="114">
        <v>-34994</v>
      </c>
      <c r="P138" s="106" t="s">
        <v>97</v>
      </c>
      <c r="Q138" t="s">
        <v>92</v>
      </c>
      <c r="R138" s="70">
        <f t="shared" si="36"/>
        <v>5540</v>
      </c>
      <c r="S138" s="70">
        <f t="shared" si="37"/>
        <v>74475</v>
      </c>
      <c r="T138" s="70">
        <f t="shared" si="38"/>
        <v>10266</v>
      </c>
      <c r="U138" s="70">
        <f t="shared" si="39"/>
        <v>-55975</v>
      </c>
      <c r="V138" s="70">
        <f t="shared" si="40"/>
        <v>34306</v>
      </c>
      <c r="X138" s="62"/>
      <c r="Y138" s="62"/>
    </row>
    <row r="139" spans="1:25">
      <c r="B139" t="s">
        <v>94</v>
      </c>
      <c r="C139" s="114">
        <v>740</v>
      </c>
      <c r="D139" s="114">
        <v>4659</v>
      </c>
      <c r="E139" s="114">
        <v>-7771</v>
      </c>
      <c r="F139" s="114">
        <v>-4846</v>
      </c>
      <c r="G139" s="114">
        <v>11459</v>
      </c>
      <c r="H139" s="114">
        <v>11658</v>
      </c>
      <c r="I139" s="114">
        <v>8388</v>
      </c>
      <c r="J139" s="69">
        <v>-4009</v>
      </c>
      <c r="K139" s="114">
        <v>-8762</v>
      </c>
      <c r="L139" s="115">
        <v>-4110</v>
      </c>
      <c r="M139" s="114">
        <v>5708</v>
      </c>
      <c r="N139" s="114">
        <v>-6210</v>
      </c>
      <c r="Q139" t="s">
        <v>94</v>
      </c>
      <c r="R139" s="70">
        <f t="shared" si="36"/>
        <v>-2372</v>
      </c>
      <c r="S139" s="70">
        <f t="shared" si="37"/>
        <v>18271</v>
      </c>
      <c r="T139" s="70">
        <f t="shared" si="38"/>
        <v>-4383</v>
      </c>
      <c r="U139" s="70">
        <f t="shared" si="39"/>
        <v>-4612</v>
      </c>
      <c r="V139" s="70">
        <f t="shared" si="40"/>
        <v>6904</v>
      </c>
      <c r="X139" s="62"/>
      <c r="Y139" s="62"/>
    </row>
    <row r="140" spans="1:25">
      <c r="A140" t="s">
        <v>98</v>
      </c>
      <c r="C140" s="116">
        <v>19143.52</v>
      </c>
      <c r="D140" s="116">
        <v>10262.540000000001</v>
      </c>
      <c r="E140" s="116">
        <v>17277.11</v>
      </c>
      <c r="F140" s="116">
        <v>19837.45</v>
      </c>
      <c r="G140" s="116">
        <v>9747.33</v>
      </c>
      <c r="H140" s="116">
        <v>10192.43</v>
      </c>
      <c r="I140" s="116">
        <v>15245.7</v>
      </c>
      <c r="J140" s="71">
        <v>12651.19</v>
      </c>
      <c r="K140" s="116">
        <v>8001.18</v>
      </c>
      <c r="L140" s="116">
        <v>12613.84</v>
      </c>
      <c r="M140" s="116">
        <v>10845.7</v>
      </c>
      <c r="N140" s="116">
        <v>0</v>
      </c>
      <c r="P140" t="s">
        <v>98</v>
      </c>
      <c r="R140" s="70">
        <f>SUM(C140:E140)</f>
        <v>46683.17</v>
      </c>
      <c r="S140" s="70">
        <f>SUM(F140:H140)</f>
        <v>39777.21</v>
      </c>
      <c r="T140" s="70">
        <f>SUM(I140:K140)</f>
        <v>35898.07</v>
      </c>
      <c r="U140" s="70">
        <f>SUM(L140:N140)</f>
        <v>23459.54</v>
      </c>
      <c r="V140" s="70">
        <f>SUM(C140:N140)</f>
        <v>145817.99000000002</v>
      </c>
      <c r="X140" s="62"/>
      <c r="Y140" s="62"/>
    </row>
    <row r="141" spans="1:25">
      <c r="C141" s="116"/>
      <c r="D141" s="116"/>
      <c r="E141" s="116"/>
      <c r="F141" s="116"/>
      <c r="G141" s="116"/>
      <c r="H141" s="116"/>
      <c r="I141" s="116"/>
      <c r="J141" s="60"/>
      <c r="K141" s="116"/>
      <c r="L141" s="116"/>
      <c r="M141" s="116"/>
      <c r="N141" s="116"/>
      <c r="R141" s="70"/>
      <c r="S141" s="70"/>
      <c r="T141" s="70"/>
      <c r="U141" s="70"/>
      <c r="V141" s="70"/>
    </row>
    <row r="142" spans="1:25">
      <c r="C142" s="116"/>
      <c r="D142" s="116"/>
      <c r="E142" s="116"/>
      <c r="F142" s="116"/>
      <c r="G142" s="116"/>
      <c r="H142" s="116"/>
      <c r="I142" s="116"/>
      <c r="J142" s="60"/>
      <c r="K142" s="116"/>
      <c r="L142" s="116"/>
      <c r="M142" s="116"/>
      <c r="N142" s="116"/>
      <c r="R142" s="70"/>
      <c r="S142" s="70"/>
      <c r="T142" s="70"/>
      <c r="U142" s="70"/>
      <c r="V142" s="70"/>
    </row>
    <row r="143" spans="1:25">
      <c r="C143" s="116"/>
      <c r="D143" s="116"/>
      <c r="E143" s="116"/>
      <c r="F143" s="116"/>
      <c r="G143" s="116"/>
      <c r="H143" s="116"/>
      <c r="I143" s="116"/>
      <c r="J143" s="60"/>
      <c r="K143" s="116"/>
      <c r="L143" s="116"/>
      <c r="M143" s="116"/>
      <c r="N143" s="116"/>
      <c r="R143" s="70"/>
      <c r="S143" s="70"/>
      <c r="T143" s="70"/>
      <c r="U143" s="70"/>
      <c r="V143" s="70"/>
    </row>
    <row r="144" spans="1:25">
      <c r="C144" s="116"/>
      <c r="D144" s="116"/>
      <c r="E144" s="116"/>
      <c r="F144" s="116"/>
      <c r="G144" s="116"/>
      <c r="H144" s="116"/>
      <c r="I144" s="116"/>
      <c r="J144" s="60"/>
      <c r="K144" s="116"/>
      <c r="L144" s="116"/>
      <c r="M144" s="116"/>
      <c r="N144" s="116"/>
      <c r="R144" s="70"/>
      <c r="S144" s="70"/>
      <c r="T144" s="70"/>
      <c r="U144" s="70"/>
      <c r="V144" s="70"/>
    </row>
    <row r="145" spans="1:24">
      <c r="A145" s="98" t="s">
        <v>244</v>
      </c>
      <c r="P145" s="98" t="s">
        <v>244</v>
      </c>
    </row>
    <row r="146" spans="1:24">
      <c r="I146" s="99"/>
      <c r="J146" s="68"/>
      <c r="K146" s="99"/>
      <c r="L146" s="99"/>
      <c r="M146" s="99"/>
    </row>
    <row r="147" spans="1:24">
      <c r="A147" s="98" t="s">
        <v>102</v>
      </c>
      <c r="P147" s="98" t="s">
        <v>102</v>
      </c>
      <c r="R147" s="100" t="s">
        <v>43</v>
      </c>
      <c r="S147" s="100" t="s">
        <v>44</v>
      </c>
      <c r="T147" s="100" t="s">
        <v>45</v>
      </c>
      <c r="U147" s="101" t="s">
        <v>46</v>
      </c>
      <c r="V147" s="101"/>
    </row>
    <row r="148" spans="1:24">
      <c r="A148" s="98" t="s">
        <v>47</v>
      </c>
      <c r="C148" s="102" t="s">
        <v>48</v>
      </c>
      <c r="D148" s="102" t="s">
        <v>49</v>
      </c>
      <c r="E148" s="102" t="s">
        <v>50</v>
      </c>
      <c r="F148" s="102" t="s">
        <v>51</v>
      </c>
      <c r="G148" s="102" t="s">
        <v>52</v>
      </c>
      <c r="H148" s="102" t="s">
        <v>53</v>
      </c>
      <c r="I148" s="102" t="s">
        <v>54</v>
      </c>
      <c r="J148" s="58" t="s">
        <v>55</v>
      </c>
      <c r="K148" s="102" t="s">
        <v>56</v>
      </c>
      <c r="L148" s="102" t="s">
        <v>57</v>
      </c>
      <c r="M148" s="102" t="s">
        <v>58</v>
      </c>
      <c r="N148" s="102" t="s">
        <v>59</v>
      </c>
      <c r="P148" s="98" t="s">
        <v>47</v>
      </c>
      <c r="R148" s="102" t="s">
        <v>60</v>
      </c>
      <c r="S148" s="102" t="s">
        <v>60</v>
      </c>
      <c r="T148" s="102" t="s">
        <v>60</v>
      </c>
      <c r="U148" s="102" t="s">
        <v>60</v>
      </c>
      <c r="V148" s="102" t="s">
        <v>61</v>
      </c>
    </row>
    <row r="149" spans="1:24">
      <c r="C149" s="59"/>
      <c r="D149" s="59"/>
      <c r="E149" s="59"/>
      <c r="F149" s="59"/>
      <c r="G149" s="59"/>
      <c r="H149" s="59"/>
      <c r="I149" s="59"/>
      <c r="J149" s="60"/>
      <c r="K149" s="59"/>
      <c r="L149" s="59"/>
      <c r="M149" s="59"/>
      <c r="N149" s="59"/>
    </row>
    <row r="150" spans="1:24">
      <c r="A150" t="s">
        <v>62</v>
      </c>
      <c r="B150" s="100" t="s">
        <v>63</v>
      </c>
      <c r="C150" s="59">
        <f>130773+140</f>
        <v>130913</v>
      </c>
      <c r="D150" s="59">
        <f>130+130848</f>
        <v>130978</v>
      </c>
      <c r="E150" s="59">
        <f>130887+126</f>
        <v>131013</v>
      </c>
      <c r="F150" s="59">
        <f>129+130759</f>
        <v>130888</v>
      </c>
      <c r="G150" s="59">
        <f>130718+137</f>
        <v>130855</v>
      </c>
      <c r="H150" s="59">
        <f>130902+133</f>
        <v>131035</v>
      </c>
      <c r="I150" s="59">
        <f>130896+130</f>
        <v>131026</v>
      </c>
      <c r="J150" s="60">
        <f>125+131172</f>
        <v>131297</v>
      </c>
      <c r="K150" s="59">
        <f>131203+127</f>
        <v>131330</v>
      </c>
      <c r="L150" s="59">
        <f>131358+119</f>
        <v>131477</v>
      </c>
      <c r="M150" s="59">
        <f>131787+114</f>
        <v>131901</v>
      </c>
      <c r="N150" s="59">
        <f>131952+120</f>
        <v>132072</v>
      </c>
      <c r="P150" t="s">
        <v>62</v>
      </c>
      <c r="Q150" s="100" t="s">
        <v>63</v>
      </c>
      <c r="R150" s="61">
        <f>SUM(C150:E150)/3</f>
        <v>130968</v>
      </c>
      <c r="S150" s="61">
        <f>SUM(F150:H150)/3</f>
        <v>130926</v>
      </c>
      <c r="T150" s="61">
        <f>SUM(I150:K150)/3</f>
        <v>131217.66666666666</v>
      </c>
      <c r="U150" s="61">
        <f>SUM(L150:N150)/3</f>
        <v>131816.66666666666</v>
      </c>
      <c r="V150" s="61">
        <f>IF(COUNT(C150:N150)=0,0,SUM(C150:N150)/COUNT(C150:N150))</f>
        <v>131232.08333333334</v>
      </c>
      <c r="X150" s="62"/>
    </row>
    <row r="151" spans="1:24">
      <c r="A151" t="s">
        <v>64</v>
      </c>
      <c r="B151" s="100" t="s">
        <v>65</v>
      </c>
      <c r="C151" s="59">
        <f>21945+1+118</f>
        <v>22064</v>
      </c>
      <c r="D151" s="59">
        <f>21944+117</f>
        <v>22061</v>
      </c>
      <c r="E151" s="59">
        <f>116+21943</f>
        <v>22059</v>
      </c>
      <c r="F151" s="59">
        <f>21965+115</f>
        <v>22080</v>
      </c>
      <c r="G151" s="59">
        <f>21971+125</f>
        <v>22096</v>
      </c>
      <c r="H151" s="59">
        <f>22037+1+120</f>
        <v>22158</v>
      </c>
      <c r="I151" s="59">
        <f>21977+1+124</f>
        <v>22102</v>
      </c>
      <c r="J151" s="60">
        <f>22012+2+114</f>
        <v>22128</v>
      </c>
      <c r="K151" s="59">
        <f>22029+114</f>
        <v>22143</v>
      </c>
      <c r="L151" s="59">
        <f>22045+117</f>
        <v>22162</v>
      </c>
      <c r="M151" s="59">
        <f>22060+118</f>
        <v>22178</v>
      </c>
      <c r="N151" s="59">
        <f>22066+113</f>
        <v>22179</v>
      </c>
      <c r="P151" t="s">
        <v>64</v>
      </c>
      <c r="Q151" s="100" t="s">
        <v>65</v>
      </c>
      <c r="R151" s="61">
        <f>SUM(C151:E151)/3</f>
        <v>22061.333333333332</v>
      </c>
      <c r="S151" s="61">
        <f>SUM(F151:H151)/3</f>
        <v>22111.333333333332</v>
      </c>
      <c r="T151" s="61">
        <f>SUM(I151:K151)/3</f>
        <v>22124.333333333332</v>
      </c>
      <c r="U151" s="61">
        <f>SUM(L151:N151)/3</f>
        <v>22173</v>
      </c>
      <c r="V151" s="61">
        <f t="shared" ref="V151:V161" si="43">IF(COUNT(C151:N151)=0,0,SUM(C151:N151)/COUNT(C151:N151))</f>
        <v>22117.5</v>
      </c>
      <c r="X151" s="62"/>
    </row>
    <row r="152" spans="1:24">
      <c r="A152" t="s">
        <v>66</v>
      </c>
      <c r="B152" s="100" t="s">
        <v>67</v>
      </c>
      <c r="C152" s="59">
        <f>268+1</f>
        <v>269</v>
      </c>
      <c r="D152" s="59">
        <f>1+267</f>
        <v>268</v>
      </c>
      <c r="E152" s="59">
        <f>1+268</f>
        <v>269</v>
      </c>
      <c r="F152" s="59">
        <v>267</v>
      </c>
      <c r="G152" s="59">
        <f>265+2</f>
        <v>267</v>
      </c>
      <c r="H152" s="59">
        <f>265+1</f>
        <v>266</v>
      </c>
      <c r="I152" s="59">
        <v>264</v>
      </c>
      <c r="J152" s="60">
        <f>263+1</f>
        <v>264</v>
      </c>
      <c r="K152" s="59">
        <f>263+1</f>
        <v>264</v>
      </c>
      <c r="L152" s="59">
        <f>263+1</f>
        <v>264</v>
      </c>
      <c r="M152" s="59">
        <f>264+1</f>
        <v>265</v>
      </c>
      <c r="N152" s="59">
        <f>264+1</f>
        <v>265</v>
      </c>
      <c r="P152" t="s">
        <v>66</v>
      </c>
      <c r="Q152" s="100" t="s">
        <v>67</v>
      </c>
      <c r="R152" s="61">
        <f>SUM(C152:E152)/3</f>
        <v>268.66666666666669</v>
      </c>
      <c r="S152" s="61">
        <f>SUM(F152:H152)/3</f>
        <v>266.66666666666669</v>
      </c>
      <c r="T152" s="61">
        <f>SUM(I152:K152)/3</f>
        <v>264</v>
      </c>
      <c r="U152" s="61">
        <f>SUM(L152:N152)/3</f>
        <v>264.66666666666669</v>
      </c>
      <c r="V152" s="61">
        <f t="shared" si="43"/>
        <v>266</v>
      </c>
      <c r="X152" s="62"/>
    </row>
    <row r="153" spans="1:24">
      <c r="A153" t="s">
        <v>68</v>
      </c>
      <c r="B153" s="100" t="s">
        <v>69</v>
      </c>
      <c r="C153" s="59">
        <v>11</v>
      </c>
      <c r="D153" s="59">
        <v>11</v>
      </c>
      <c r="E153" s="59">
        <v>11</v>
      </c>
      <c r="F153" s="59">
        <v>11</v>
      </c>
      <c r="G153" s="59">
        <v>11</v>
      </c>
      <c r="H153" s="59">
        <v>11</v>
      </c>
      <c r="I153" s="59">
        <v>11</v>
      </c>
      <c r="J153" s="60">
        <v>11</v>
      </c>
      <c r="K153" s="59">
        <v>11</v>
      </c>
      <c r="L153" s="59">
        <v>11</v>
      </c>
      <c r="M153" s="59">
        <f>10</f>
        <v>10</v>
      </c>
      <c r="N153" s="59">
        <v>10</v>
      </c>
      <c r="P153" t="s">
        <v>68</v>
      </c>
      <c r="Q153" s="100" t="s">
        <v>69</v>
      </c>
      <c r="R153" s="61">
        <f t="shared" ref="R153:R163" si="44">SUM(C153:E153)/3</f>
        <v>11</v>
      </c>
      <c r="S153" s="61">
        <f t="shared" ref="S153:S163" si="45">SUM(F153:H153)/3</f>
        <v>11</v>
      </c>
      <c r="T153" s="61">
        <f t="shared" ref="T153:T163" si="46">SUM(I153:K153)/3</f>
        <v>11</v>
      </c>
      <c r="U153" s="61">
        <f t="shared" ref="U153:U163" si="47">SUM(L153:N153)/3</f>
        <v>10.333333333333334</v>
      </c>
      <c r="V153" s="61">
        <f t="shared" si="43"/>
        <v>10.833333333333334</v>
      </c>
      <c r="X153" s="62"/>
    </row>
    <row r="154" spans="1:24">
      <c r="A154" t="s">
        <v>70</v>
      </c>
      <c r="B154" s="100" t="s">
        <v>71</v>
      </c>
      <c r="C154" s="59">
        <v>1</v>
      </c>
      <c r="D154" s="59">
        <v>1</v>
      </c>
      <c r="E154" s="59">
        <v>1</v>
      </c>
      <c r="F154" s="59">
        <v>1</v>
      </c>
      <c r="G154" s="59">
        <v>1</v>
      </c>
      <c r="H154" s="59">
        <v>1</v>
      </c>
      <c r="I154" s="59">
        <v>1</v>
      </c>
      <c r="J154" s="60">
        <v>1</v>
      </c>
      <c r="K154" s="59">
        <v>1</v>
      </c>
      <c r="L154" s="59">
        <v>1</v>
      </c>
      <c r="M154" s="59">
        <v>1</v>
      </c>
      <c r="N154" s="59">
        <v>1</v>
      </c>
      <c r="P154" t="s">
        <v>70</v>
      </c>
      <c r="Q154" s="100" t="s">
        <v>71</v>
      </c>
      <c r="R154" s="61">
        <f t="shared" si="44"/>
        <v>1</v>
      </c>
      <c r="S154" s="61">
        <f t="shared" si="45"/>
        <v>1</v>
      </c>
      <c r="T154" s="61">
        <f t="shared" si="46"/>
        <v>1</v>
      </c>
      <c r="U154" s="61">
        <f t="shared" si="47"/>
        <v>1</v>
      </c>
      <c r="V154" s="61">
        <f t="shared" si="43"/>
        <v>1</v>
      </c>
      <c r="X154" s="62"/>
    </row>
    <row r="155" spans="1:24">
      <c r="A155" s="111" t="s">
        <v>72</v>
      </c>
      <c r="B155" s="100"/>
      <c r="C155" s="59">
        <v>0</v>
      </c>
      <c r="D155" s="59">
        <v>0</v>
      </c>
      <c r="E155" s="59">
        <v>0</v>
      </c>
      <c r="F155" s="59">
        <v>0</v>
      </c>
      <c r="G155" s="59">
        <v>0</v>
      </c>
      <c r="H155" s="59">
        <v>0</v>
      </c>
      <c r="I155" s="59">
        <v>0</v>
      </c>
      <c r="J155" s="60">
        <v>0</v>
      </c>
      <c r="K155" s="59">
        <v>0</v>
      </c>
      <c r="L155" s="59">
        <v>0</v>
      </c>
      <c r="M155" s="59">
        <v>0</v>
      </c>
      <c r="N155" s="59">
        <v>0</v>
      </c>
      <c r="P155" t="s">
        <v>72</v>
      </c>
      <c r="Q155" s="100"/>
      <c r="R155" s="61">
        <f>SUM(C155:E155)/3</f>
        <v>0</v>
      </c>
      <c r="S155" s="61">
        <f>SUM(F155:H155)/3</f>
        <v>0</v>
      </c>
      <c r="T155" s="61">
        <f>SUM(I155:K155)/3</f>
        <v>0</v>
      </c>
      <c r="U155" s="61">
        <f>SUM(L155:N155)/3</f>
        <v>0</v>
      </c>
      <c r="V155" s="61">
        <f>IF(COUNT(C155:N155)=0,0,SUM(C155:N155)/COUNT(C155:N155))</f>
        <v>0</v>
      </c>
      <c r="X155" s="62"/>
    </row>
    <row r="156" spans="1:24">
      <c r="A156" t="s">
        <v>73</v>
      </c>
      <c r="B156" s="100" t="s">
        <v>74</v>
      </c>
      <c r="C156" s="59">
        <v>0</v>
      </c>
      <c r="D156" s="59">
        <v>0</v>
      </c>
      <c r="E156" s="59">
        <v>0</v>
      </c>
      <c r="F156" s="59">
        <v>0</v>
      </c>
      <c r="G156" s="59">
        <v>0</v>
      </c>
      <c r="H156" s="59">
        <v>0</v>
      </c>
      <c r="I156" s="59">
        <v>0</v>
      </c>
      <c r="J156" s="60">
        <v>0</v>
      </c>
      <c r="K156" s="59">
        <v>0</v>
      </c>
      <c r="L156" s="59">
        <v>0</v>
      </c>
      <c r="M156" s="59">
        <v>0</v>
      </c>
      <c r="N156" s="59">
        <v>0</v>
      </c>
      <c r="P156" t="s">
        <v>73</v>
      </c>
      <c r="Q156" s="100" t="s">
        <v>74</v>
      </c>
      <c r="R156" s="61">
        <f t="shared" si="44"/>
        <v>0</v>
      </c>
      <c r="S156" s="61">
        <f t="shared" si="45"/>
        <v>0</v>
      </c>
      <c r="T156" s="61">
        <f t="shared" si="46"/>
        <v>0</v>
      </c>
      <c r="U156" s="61">
        <f t="shared" si="47"/>
        <v>0</v>
      </c>
      <c r="V156" s="61">
        <f t="shared" si="43"/>
        <v>0</v>
      </c>
      <c r="X156" s="62"/>
    </row>
    <row r="157" spans="1:24">
      <c r="A157" t="s">
        <v>75</v>
      </c>
      <c r="B157" s="100" t="s">
        <v>76</v>
      </c>
      <c r="C157" s="59">
        <v>0</v>
      </c>
      <c r="D157" s="59">
        <v>0</v>
      </c>
      <c r="E157" s="59">
        <v>0</v>
      </c>
      <c r="F157" s="59">
        <v>0</v>
      </c>
      <c r="G157" s="59">
        <v>0</v>
      </c>
      <c r="H157" s="59">
        <v>0</v>
      </c>
      <c r="I157" s="59">
        <v>0</v>
      </c>
      <c r="J157" s="60">
        <v>0</v>
      </c>
      <c r="K157" s="59">
        <v>0</v>
      </c>
      <c r="L157" s="59">
        <v>0</v>
      </c>
      <c r="M157" s="59">
        <v>0</v>
      </c>
      <c r="N157" s="59">
        <v>0</v>
      </c>
      <c r="P157" t="s">
        <v>75</v>
      </c>
      <c r="Q157" s="100" t="s">
        <v>76</v>
      </c>
      <c r="R157" s="61">
        <f t="shared" si="44"/>
        <v>0</v>
      </c>
      <c r="S157" s="61">
        <f t="shared" si="45"/>
        <v>0</v>
      </c>
      <c r="T157" s="61">
        <f t="shared" si="46"/>
        <v>0</v>
      </c>
      <c r="U157" s="61">
        <f t="shared" si="47"/>
        <v>0</v>
      </c>
      <c r="V157" s="61">
        <f t="shared" si="43"/>
        <v>0</v>
      </c>
      <c r="X157" s="62"/>
    </row>
    <row r="158" spans="1:24">
      <c r="A158" t="s">
        <v>77</v>
      </c>
      <c r="B158" s="100" t="s">
        <v>78</v>
      </c>
      <c r="C158" s="59">
        <v>3</v>
      </c>
      <c r="D158" s="59">
        <v>3</v>
      </c>
      <c r="E158" s="59">
        <v>3</v>
      </c>
      <c r="F158" s="59">
        <v>3</v>
      </c>
      <c r="G158" s="59">
        <v>3</v>
      </c>
      <c r="H158" s="59">
        <v>3</v>
      </c>
      <c r="I158" s="59">
        <v>3</v>
      </c>
      <c r="J158" s="60">
        <v>3</v>
      </c>
      <c r="K158" s="59">
        <v>3</v>
      </c>
      <c r="L158" s="59">
        <v>3</v>
      </c>
      <c r="M158" s="59">
        <v>3</v>
      </c>
      <c r="N158" s="59">
        <v>3</v>
      </c>
      <c r="P158" t="s">
        <v>77</v>
      </c>
      <c r="Q158" s="100" t="s">
        <v>78</v>
      </c>
      <c r="R158" s="61">
        <f t="shared" si="44"/>
        <v>3</v>
      </c>
      <c r="S158" s="61">
        <f t="shared" si="45"/>
        <v>3</v>
      </c>
      <c r="T158" s="61">
        <f t="shared" si="46"/>
        <v>3</v>
      </c>
      <c r="U158" s="61">
        <f t="shared" si="47"/>
        <v>3</v>
      </c>
      <c r="V158" s="61">
        <f t="shared" si="43"/>
        <v>3</v>
      </c>
      <c r="X158" s="62"/>
    </row>
    <row r="159" spans="1:24">
      <c r="A159" t="s">
        <v>79</v>
      </c>
      <c r="B159" s="100" t="s">
        <v>80</v>
      </c>
      <c r="C159" s="59">
        <f>421+7</f>
        <v>428</v>
      </c>
      <c r="D159" s="59">
        <f>420+7</f>
        <v>427</v>
      </c>
      <c r="E159" s="59">
        <f>7+422</f>
        <v>429</v>
      </c>
      <c r="F159" s="59">
        <f>423+7</f>
        <v>430</v>
      </c>
      <c r="G159" s="59">
        <f>7+416</f>
        <v>423</v>
      </c>
      <c r="H159" s="59">
        <f>418+7</f>
        <v>425</v>
      </c>
      <c r="I159" s="59">
        <f>418+7</f>
        <v>425</v>
      </c>
      <c r="J159" s="60">
        <f>422+7</f>
        <v>429</v>
      </c>
      <c r="K159" s="59">
        <f>425+7</f>
        <v>432</v>
      </c>
      <c r="L159" s="59">
        <f>427+7</f>
        <v>434</v>
      </c>
      <c r="M159" s="59">
        <f>423+7</f>
        <v>430</v>
      </c>
      <c r="N159" s="59">
        <f>423+7</f>
        <v>430</v>
      </c>
      <c r="P159" t="s">
        <v>79</v>
      </c>
      <c r="Q159" s="100" t="s">
        <v>80</v>
      </c>
      <c r="R159" s="61">
        <f t="shared" si="44"/>
        <v>428</v>
      </c>
      <c r="S159" s="61">
        <f t="shared" si="45"/>
        <v>426</v>
      </c>
      <c r="T159" s="61">
        <f t="shared" si="46"/>
        <v>428.66666666666669</v>
      </c>
      <c r="U159" s="61">
        <f t="shared" si="47"/>
        <v>431.33333333333331</v>
      </c>
      <c r="V159" s="61">
        <f t="shared" si="43"/>
        <v>428.5</v>
      </c>
      <c r="X159" s="62"/>
    </row>
    <row r="160" spans="1:24">
      <c r="A160" t="s">
        <v>81</v>
      </c>
      <c r="B160" s="100" t="s">
        <v>82</v>
      </c>
      <c r="C160" s="59">
        <f>637+686</f>
        <v>1323</v>
      </c>
      <c r="D160" s="59">
        <f>640+688</f>
        <v>1328</v>
      </c>
      <c r="E160" s="59">
        <f>640+688</f>
        <v>1328</v>
      </c>
      <c r="F160" s="59">
        <f>643+686</f>
        <v>1329</v>
      </c>
      <c r="G160" s="59">
        <f>637+686</f>
        <v>1323</v>
      </c>
      <c r="H160" s="59">
        <f>641+686</f>
        <v>1327</v>
      </c>
      <c r="I160" s="59">
        <f>641+687</f>
        <v>1328</v>
      </c>
      <c r="J160" s="60">
        <f>643+687</f>
        <v>1330</v>
      </c>
      <c r="K160" s="59">
        <f>642+689</f>
        <v>1331</v>
      </c>
      <c r="L160" s="59">
        <f>643+690</f>
        <v>1333</v>
      </c>
      <c r="M160" s="59">
        <f>643+690</f>
        <v>1333</v>
      </c>
      <c r="N160" s="59">
        <f>643+690</f>
        <v>1333</v>
      </c>
      <c r="P160" t="s">
        <v>81</v>
      </c>
      <c r="Q160" s="100" t="s">
        <v>82</v>
      </c>
      <c r="R160" s="77">
        <f t="shared" si="44"/>
        <v>1326.3333333333333</v>
      </c>
      <c r="S160" s="77">
        <f t="shared" si="45"/>
        <v>1326.3333333333333</v>
      </c>
      <c r="T160" s="77">
        <f t="shared" si="46"/>
        <v>1329.6666666666667</v>
      </c>
      <c r="U160" s="77">
        <f t="shared" si="47"/>
        <v>1333</v>
      </c>
      <c r="V160" s="77">
        <f t="shared" si="43"/>
        <v>1328.8333333333333</v>
      </c>
      <c r="X160" s="62"/>
    </row>
    <row r="161" spans="1:24">
      <c r="A161" t="s">
        <v>83</v>
      </c>
      <c r="B161" s="100" t="s">
        <v>84</v>
      </c>
      <c r="C161" s="63">
        <v>39</v>
      </c>
      <c r="D161" s="63">
        <v>40</v>
      </c>
      <c r="E161" s="63">
        <v>40</v>
      </c>
      <c r="F161" s="63">
        <v>40</v>
      </c>
      <c r="G161" s="63">
        <v>40</v>
      </c>
      <c r="H161" s="63">
        <v>40</v>
      </c>
      <c r="I161" s="63">
        <v>39</v>
      </c>
      <c r="J161" s="64">
        <v>39</v>
      </c>
      <c r="K161" s="63">
        <v>39</v>
      </c>
      <c r="L161" s="63">
        <v>39</v>
      </c>
      <c r="M161" s="63">
        <v>39</v>
      </c>
      <c r="N161" s="63">
        <v>39</v>
      </c>
      <c r="P161" t="s">
        <v>83</v>
      </c>
      <c r="Q161" s="100" t="s">
        <v>84</v>
      </c>
      <c r="R161" s="65">
        <f t="shared" si="44"/>
        <v>39.666666666666664</v>
      </c>
      <c r="S161" s="65">
        <f t="shared" si="45"/>
        <v>40</v>
      </c>
      <c r="T161" s="65">
        <f t="shared" si="46"/>
        <v>39</v>
      </c>
      <c r="U161" s="65">
        <f t="shared" si="47"/>
        <v>39</v>
      </c>
      <c r="V161" s="65">
        <f t="shared" si="43"/>
        <v>39.416666666666664</v>
      </c>
      <c r="X161" s="62"/>
    </row>
    <row r="162" spans="1:24">
      <c r="A162" s="103" t="s">
        <v>85</v>
      </c>
      <c r="C162" s="104">
        <f t="shared" ref="C162:N162" si="48">SUM(C150:C161)</f>
        <v>155051</v>
      </c>
      <c r="D162" s="104">
        <f t="shared" si="48"/>
        <v>155117</v>
      </c>
      <c r="E162" s="104">
        <f t="shared" si="48"/>
        <v>155153</v>
      </c>
      <c r="F162" s="104">
        <f t="shared" si="48"/>
        <v>155049</v>
      </c>
      <c r="G162" s="104">
        <f t="shared" si="48"/>
        <v>155019</v>
      </c>
      <c r="H162" s="104">
        <f t="shared" si="48"/>
        <v>155266</v>
      </c>
      <c r="I162" s="104">
        <f t="shared" si="48"/>
        <v>155199</v>
      </c>
      <c r="J162" s="57">
        <f t="shared" si="48"/>
        <v>155502</v>
      </c>
      <c r="K162" s="104">
        <f t="shared" si="48"/>
        <v>155554</v>
      </c>
      <c r="L162" s="104">
        <f t="shared" si="48"/>
        <v>155724</v>
      </c>
      <c r="M162" s="104">
        <f t="shared" si="48"/>
        <v>156160</v>
      </c>
      <c r="N162" s="104">
        <f t="shared" si="48"/>
        <v>156332</v>
      </c>
      <c r="P162" s="106" t="s">
        <v>85</v>
      </c>
      <c r="R162" s="61">
        <f t="shared" si="44"/>
        <v>155107</v>
      </c>
      <c r="S162" s="61">
        <f t="shared" si="45"/>
        <v>155111.33333333334</v>
      </c>
      <c r="T162" s="61">
        <f t="shared" si="46"/>
        <v>155418.33333333334</v>
      </c>
      <c r="U162" s="61">
        <f t="shared" si="47"/>
        <v>156072</v>
      </c>
      <c r="V162" s="104">
        <f>SUM(V150:V161)</f>
        <v>155427.16666666669</v>
      </c>
      <c r="X162" s="62"/>
    </row>
    <row r="163" spans="1:24" ht="15.75" thickBot="1">
      <c r="A163" s="103" t="s">
        <v>86</v>
      </c>
      <c r="C163" s="107">
        <f t="shared" ref="C163:N163" si="49">SUM(C150:C154)+SUM(C159:C161)</f>
        <v>155048</v>
      </c>
      <c r="D163" s="107">
        <f t="shared" si="49"/>
        <v>155114</v>
      </c>
      <c r="E163" s="107">
        <f>SUM(E150:E154)+SUM(E159:E161)</f>
        <v>155150</v>
      </c>
      <c r="F163" s="107">
        <f t="shared" si="49"/>
        <v>155046</v>
      </c>
      <c r="G163" s="107">
        <f t="shared" si="49"/>
        <v>155016</v>
      </c>
      <c r="H163" s="107">
        <f t="shared" si="49"/>
        <v>155263</v>
      </c>
      <c r="I163" s="107">
        <f t="shared" si="49"/>
        <v>155196</v>
      </c>
      <c r="J163" s="66">
        <f t="shared" si="49"/>
        <v>155499</v>
      </c>
      <c r="K163" s="107">
        <f t="shared" si="49"/>
        <v>155551</v>
      </c>
      <c r="L163" s="107">
        <f>SUM(L150:L154)+SUM(L159:L161)</f>
        <v>155721</v>
      </c>
      <c r="M163" s="107">
        <f>SUM(M150:M154)+SUM(M159:M161)</f>
        <v>156157</v>
      </c>
      <c r="N163" s="107">
        <f t="shared" si="49"/>
        <v>156329</v>
      </c>
      <c r="P163" s="106" t="s">
        <v>86</v>
      </c>
      <c r="R163" s="67">
        <f t="shared" si="44"/>
        <v>155104</v>
      </c>
      <c r="S163" s="67">
        <f t="shared" si="45"/>
        <v>155108.33333333334</v>
      </c>
      <c r="T163" s="67">
        <f t="shared" si="46"/>
        <v>155415.33333333334</v>
      </c>
      <c r="U163" s="67">
        <f t="shared" si="47"/>
        <v>156069</v>
      </c>
      <c r="V163" s="107">
        <f>SUM(V150:V154)+SUM(V159:V161)</f>
        <v>155424.16666666669</v>
      </c>
      <c r="X163" s="62"/>
    </row>
    <row r="164" spans="1:24" ht="15.75" thickTop="1">
      <c r="C164" s="104"/>
      <c r="D164" s="104"/>
      <c r="E164" s="104"/>
      <c r="F164" s="104"/>
      <c r="G164" s="104"/>
      <c r="H164" s="104"/>
      <c r="I164" s="104"/>
      <c r="K164" s="104"/>
      <c r="L164" s="104"/>
      <c r="M164" s="104"/>
      <c r="N164" s="104"/>
      <c r="R164" s="61"/>
      <c r="S164" s="61"/>
      <c r="T164" s="61"/>
      <c r="U164" s="61"/>
      <c r="V164" s="61"/>
    </row>
    <row r="165" spans="1:24">
      <c r="C165" s="104"/>
      <c r="D165" s="104"/>
      <c r="E165" s="104"/>
      <c r="F165" s="104"/>
      <c r="G165" s="104"/>
      <c r="H165" s="104"/>
      <c r="I165" s="104"/>
      <c r="K165" s="104"/>
      <c r="L165" s="104"/>
      <c r="M165" s="104"/>
      <c r="N165" s="104"/>
      <c r="R165" s="61"/>
      <c r="S165" s="61"/>
      <c r="T165" s="61"/>
      <c r="U165" s="61"/>
      <c r="V165" s="61"/>
    </row>
    <row r="166" spans="1:24">
      <c r="C166" s="104"/>
      <c r="D166" s="104"/>
      <c r="E166" s="104"/>
      <c r="F166" s="104"/>
      <c r="G166" s="104"/>
      <c r="H166" s="104"/>
      <c r="I166" s="104"/>
      <c r="K166" s="104"/>
      <c r="L166" s="104"/>
      <c r="M166" s="104"/>
      <c r="N166" s="104"/>
      <c r="R166" s="61"/>
      <c r="S166" s="61"/>
      <c r="T166" s="61"/>
      <c r="U166" s="61"/>
      <c r="V166" s="61"/>
    </row>
    <row r="167" spans="1:24">
      <c r="C167" s="104"/>
      <c r="D167" s="104"/>
      <c r="E167" s="104"/>
      <c r="F167" s="104"/>
      <c r="G167" s="104"/>
      <c r="H167" s="104"/>
      <c r="I167" s="104"/>
      <c r="K167" s="104"/>
      <c r="L167" s="104"/>
      <c r="M167" s="104"/>
      <c r="N167" s="104"/>
      <c r="R167" s="61"/>
      <c r="S167" s="61"/>
      <c r="T167" s="61"/>
      <c r="U167" s="61"/>
      <c r="V167" s="61"/>
    </row>
    <row r="168" spans="1:24">
      <c r="A168" s="98" t="s">
        <v>103</v>
      </c>
      <c r="C168" s="104"/>
      <c r="D168" s="104"/>
      <c r="E168" s="104"/>
      <c r="F168" s="104"/>
      <c r="G168" s="104"/>
      <c r="H168" s="104"/>
      <c r="I168" s="104"/>
      <c r="K168" s="104"/>
      <c r="L168" s="104"/>
      <c r="M168" s="104"/>
      <c r="N168" s="104"/>
      <c r="P168" s="98" t="s">
        <v>103</v>
      </c>
      <c r="R168" s="61"/>
      <c r="S168" s="61"/>
      <c r="T168" s="61"/>
      <c r="U168" s="61"/>
      <c r="V168" s="61"/>
    </row>
    <row r="169" spans="1:24">
      <c r="A169" t="s">
        <v>62</v>
      </c>
      <c r="B169" s="100" t="s">
        <v>63</v>
      </c>
      <c r="C169" s="108">
        <v>191882637</v>
      </c>
      <c r="D169" s="108">
        <v>169299341</v>
      </c>
      <c r="E169" s="108">
        <v>160383436</v>
      </c>
      <c r="F169" s="108">
        <v>91823797</v>
      </c>
      <c r="G169" s="108">
        <v>96357573</v>
      </c>
      <c r="H169" s="108">
        <v>123468911</v>
      </c>
      <c r="I169" s="108">
        <v>168672936</v>
      </c>
      <c r="J169" s="68">
        <v>156298426</v>
      </c>
      <c r="K169" s="108">
        <v>140917941</v>
      </c>
      <c r="L169" s="108">
        <v>109935721</v>
      </c>
      <c r="M169" s="108">
        <v>133378177</v>
      </c>
      <c r="N169" s="108">
        <v>165801448</v>
      </c>
      <c r="P169" t="s">
        <v>62</v>
      </c>
      <c r="Q169" s="100" t="s">
        <v>63</v>
      </c>
      <c r="R169" s="61">
        <f>SUM(C169:E169)</f>
        <v>521565414</v>
      </c>
      <c r="S169" s="61">
        <f>SUM(F169:H169)</f>
        <v>311650281</v>
      </c>
      <c r="T169" s="61">
        <f>SUM(I169:K169)</f>
        <v>465889303</v>
      </c>
      <c r="U169" s="61">
        <f>SUM(L169:N169)</f>
        <v>409115346</v>
      </c>
      <c r="V169" s="61">
        <f>SUM(C169:N169)</f>
        <v>1708220344</v>
      </c>
      <c r="X169" s="62"/>
    </row>
    <row r="170" spans="1:24">
      <c r="A170" t="s">
        <v>64</v>
      </c>
      <c r="B170" s="100" t="s">
        <v>65</v>
      </c>
      <c r="C170" s="108">
        <v>131387081</v>
      </c>
      <c r="D170" s="108">
        <v>106980038</v>
      </c>
      <c r="E170" s="125">
        <v>107502027</v>
      </c>
      <c r="F170" s="108">
        <v>100538502</v>
      </c>
      <c r="G170" s="108">
        <v>117288253</v>
      </c>
      <c r="H170" s="125">
        <v>128488921</v>
      </c>
      <c r="I170" s="108">
        <v>140090499</v>
      </c>
      <c r="J170" s="68">
        <v>136137797</v>
      </c>
      <c r="K170" s="108">
        <v>141828152</v>
      </c>
      <c r="L170" s="108">
        <v>94954893</v>
      </c>
      <c r="M170" s="108">
        <v>115732328</v>
      </c>
      <c r="N170" s="108">
        <v>119869315</v>
      </c>
      <c r="P170" t="s">
        <v>64</v>
      </c>
      <c r="Q170" s="100" t="s">
        <v>65</v>
      </c>
      <c r="R170" s="61">
        <f t="shared" ref="R170:R186" si="50">SUM(C170:E170)</f>
        <v>345869146</v>
      </c>
      <c r="S170" s="61">
        <f t="shared" ref="S170:S186" si="51">SUM(F170:H170)</f>
        <v>346315676</v>
      </c>
      <c r="T170" s="61">
        <f t="shared" ref="T170:T186" si="52">SUM(I170:K170)</f>
        <v>418056448</v>
      </c>
      <c r="U170" s="61">
        <f t="shared" ref="U170:U186" si="53">SUM(L170:N170)</f>
        <v>330556536</v>
      </c>
      <c r="V170" s="61">
        <f t="shared" ref="V170:V186" si="54">SUM(C170:N170)</f>
        <v>1440797806</v>
      </c>
      <c r="X170" s="62"/>
    </row>
    <row r="171" spans="1:24">
      <c r="A171" t="s">
        <v>66</v>
      </c>
      <c r="B171" s="100" t="s">
        <v>67</v>
      </c>
      <c r="C171" s="108">
        <v>65401555</v>
      </c>
      <c r="D171" s="108">
        <v>57541098</v>
      </c>
      <c r="E171" s="108">
        <v>62690243</v>
      </c>
      <c r="F171" s="108">
        <v>61198200</v>
      </c>
      <c r="G171" s="108">
        <v>67864513</v>
      </c>
      <c r="H171" s="125">
        <v>67236402</v>
      </c>
      <c r="I171" s="108">
        <v>69690518</v>
      </c>
      <c r="J171" s="68">
        <v>71914522</v>
      </c>
      <c r="K171" s="108">
        <v>68305720</v>
      </c>
      <c r="L171" s="108">
        <v>65732076</v>
      </c>
      <c r="M171" s="108">
        <v>62166340</v>
      </c>
      <c r="N171" s="125">
        <v>58154558</v>
      </c>
      <c r="P171" t="s">
        <v>66</v>
      </c>
      <c r="Q171" s="100" t="s">
        <v>67</v>
      </c>
      <c r="R171" s="61">
        <f t="shared" si="50"/>
        <v>185632896</v>
      </c>
      <c r="S171" s="61">
        <f t="shared" si="51"/>
        <v>196299115</v>
      </c>
      <c r="T171" s="61">
        <f t="shared" si="52"/>
        <v>209910760</v>
      </c>
      <c r="U171" s="61">
        <f t="shared" si="53"/>
        <v>186052974</v>
      </c>
      <c r="V171" s="61">
        <f t="shared" si="54"/>
        <v>777895745</v>
      </c>
      <c r="X171" s="62"/>
    </row>
    <row r="172" spans="1:24">
      <c r="A172" t="s">
        <v>68</v>
      </c>
      <c r="B172" s="100" t="s">
        <v>69</v>
      </c>
      <c r="C172" s="108">
        <v>7343189</v>
      </c>
      <c r="D172" s="108">
        <v>6518587</v>
      </c>
      <c r="E172" s="108">
        <v>6174363</v>
      </c>
      <c r="F172" s="108">
        <v>9823430</v>
      </c>
      <c r="G172" s="108">
        <v>9563165</v>
      </c>
      <c r="H172" s="125">
        <v>8975114</v>
      </c>
      <c r="I172" s="108">
        <v>9468366</v>
      </c>
      <c r="J172" s="68">
        <v>9220917</v>
      </c>
      <c r="K172" s="108">
        <v>6922713</v>
      </c>
      <c r="L172" s="108">
        <v>5850408</v>
      </c>
      <c r="M172" s="108">
        <v>7818688</v>
      </c>
      <c r="N172" s="108">
        <v>7748794</v>
      </c>
      <c r="P172" t="s">
        <v>68</v>
      </c>
      <c r="Q172" s="100" t="s">
        <v>69</v>
      </c>
      <c r="R172" s="61">
        <f t="shared" si="50"/>
        <v>20036139</v>
      </c>
      <c r="S172" s="61">
        <f t="shared" si="51"/>
        <v>28361709</v>
      </c>
      <c r="T172" s="61">
        <f t="shared" si="52"/>
        <v>25611996</v>
      </c>
      <c r="U172" s="61">
        <f t="shared" si="53"/>
        <v>21417890</v>
      </c>
      <c r="V172" s="61">
        <f t="shared" si="54"/>
        <v>95427734</v>
      </c>
      <c r="X172" s="62"/>
    </row>
    <row r="173" spans="1:24">
      <c r="A173" t="s">
        <v>70</v>
      </c>
      <c r="B173" s="100" t="s">
        <v>71</v>
      </c>
      <c r="C173" s="108">
        <v>6042335</v>
      </c>
      <c r="D173" s="108">
        <v>5448404</v>
      </c>
      <c r="E173" s="108">
        <v>5963547</v>
      </c>
      <c r="F173" s="108">
        <v>5212044</v>
      </c>
      <c r="G173" s="108">
        <v>5999911</v>
      </c>
      <c r="H173" s="108">
        <v>5818095</v>
      </c>
      <c r="I173" s="108">
        <v>5769611</v>
      </c>
      <c r="J173" s="68">
        <v>4593872</v>
      </c>
      <c r="K173" s="108">
        <v>5815095</v>
      </c>
      <c r="L173" s="108">
        <v>5893822</v>
      </c>
      <c r="M173" s="108">
        <v>5787792</v>
      </c>
      <c r="N173" s="108">
        <v>5587796</v>
      </c>
      <c r="P173" t="s">
        <v>70</v>
      </c>
      <c r="Q173" s="100" t="s">
        <v>71</v>
      </c>
      <c r="R173" s="61">
        <f t="shared" si="50"/>
        <v>17454286</v>
      </c>
      <c r="S173" s="61">
        <f t="shared" si="51"/>
        <v>17030050</v>
      </c>
      <c r="T173" s="61">
        <f t="shared" si="52"/>
        <v>16178578</v>
      </c>
      <c r="U173" s="61">
        <f t="shared" si="53"/>
        <v>17269410</v>
      </c>
      <c r="V173" s="61">
        <f t="shared" si="54"/>
        <v>67932324</v>
      </c>
      <c r="X173" s="62"/>
    </row>
    <row r="174" spans="1:24">
      <c r="A174" s="111" t="s">
        <v>88</v>
      </c>
      <c r="B174" s="100"/>
      <c r="C174" s="126">
        <v>0</v>
      </c>
      <c r="D174" s="126">
        <v>0</v>
      </c>
      <c r="E174" s="126">
        <v>0</v>
      </c>
      <c r="F174" s="126">
        <v>0</v>
      </c>
      <c r="G174" s="126">
        <v>0</v>
      </c>
      <c r="H174" s="126">
        <v>0</v>
      </c>
      <c r="I174" s="126">
        <v>0</v>
      </c>
      <c r="J174" s="78">
        <v>0</v>
      </c>
      <c r="K174" s="126">
        <v>0</v>
      </c>
      <c r="L174" s="126">
        <v>0</v>
      </c>
      <c r="M174" s="126">
        <v>0</v>
      </c>
      <c r="N174" s="126">
        <v>0</v>
      </c>
      <c r="P174" t="s">
        <v>72</v>
      </c>
      <c r="Q174" s="100"/>
      <c r="R174" s="61">
        <f>SUM(C174:E174)</f>
        <v>0</v>
      </c>
      <c r="S174" s="61">
        <f>SUM(F174:H174)</f>
        <v>0</v>
      </c>
      <c r="T174" s="61">
        <f>SUM(I174:K174)</f>
        <v>0</v>
      </c>
      <c r="U174" s="61">
        <f>SUM(L174:N174)</f>
        <v>0</v>
      </c>
      <c r="V174" s="61">
        <f>SUM(C174:N174)</f>
        <v>0</v>
      </c>
      <c r="X174" s="62"/>
    </row>
    <row r="175" spans="1:24">
      <c r="A175" t="s">
        <v>73</v>
      </c>
      <c r="B175" s="100" t="s">
        <v>74</v>
      </c>
      <c r="C175" s="126">
        <v>0</v>
      </c>
      <c r="D175" s="126">
        <v>0</v>
      </c>
      <c r="E175" s="126">
        <v>0</v>
      </c>
      <c r="F175" s="126">
        <v>0</v>
      </c>
      <c r="G175" s="126">
        <v>0</v>
      </c>
      <c r="H175" s="126">
        <v>0</v>
      </c>
      <c r="I175" s="126">
        <v>0</v>
      </c>
      <c r="J175" s="78">
        <v>0</v>
      </c>
      <c r="K175" s="126">
        <v>0</v>
      </c>
      <c r="L175" s="126">
        <v>0</v>
      </c>
      <c r="M175" s="126">
        <v>0</v>
      </c>
      <c r="N175" s="126">
        <v>0</v>
      </c>
      <c r="P175" t="s">
        <v>73</v>
      </c>
      <c r="Q175" s="100" t="s">
        <v>74</v>
      </c>
      <c r="R175" s="61">
        <f t="shared" si="50"/>
        <v>0</v>
      </c>
      <c r="S175" s="61">
        <f t="shared" si="51"/>
        <v>0</v>
      </c>
      <c r="T175" s="77">
        <f t="shared" si="52"/>
        <v>0</v>
      </c>
      <c r="U175" s="61">
        <f t="shared" si="53"/>
        <v>0</v>
      </c>
      <c r="V175" s="61">
        <f t="shared" si="54"/>
        <v>0</v>
      </c>
      <c r="X175" s="62"/>
    </row>
    <row r="176" spans="1:24">
      <c r="A176" t="s">
        <v>75</v>
      </c>
      <c r="B176" s="100" t="s">
        <v>76</v>
      </c>
      <c r="C176" s="126">
        <v>0</v>
      </c>
      <c r="D176" s="126">
        <v>0</v>
      </c>
      <c r="E176" s="126">
        <v>0</v>
      </c>
      <c r="F176" s="126">
        <v>0</v>
      </c>
      <c r="G176" s="126">
        <v>0</v>
      </c>
      <c r="H176" s="126">
        <v>0</v>
      </c>
      <c r="I176" s="126">
        <v>0</v>
      </c>
      <c r="J176" s="78">
        <v>0</v>
      </c>
      <c r="K176" s="126">
        <v>0</v>
      </c>
      <c r="L176" s="126">
        <v>0</v>
      </c>
      <c r="M176" s="126">
        <v>0</v>
      </c>
      <c r="N176" s="126">
        <v>0</v>
      </c>
      <c r="P176" t="s">
        <v>75</v>
      </c>
      <c r="Q176" s="100" t="s">
        <v>76</v>
      </c>
      <c r="R176" s="61">
        <f t="shared" si="50"/>
        <v>0</v>
      </c>
      <c r="S176" s="61">
        <f t="shared" si="51"/>
        <v>0</v>
      </c>
      <c r="T176" s="61">
        <f t="shared" si="52"/>
        <v>0</v>
      </c>
      <c r="U176" s="61">
        <f t="shared" si="53"/>
        <v>0</v>
      </c>
      <c r="V176" s="61">
        <f t="shared" si="54"/>
        <v>0</v>
      </c>
      <c r="X176" s="62"/>
    </row>
    <row r="177" spans="1:25">
      <c r="A177" t="s">
        <v>77</v>
      </c>
      <c r="B177" s="100" t="s">
        <v>78</v>
      </c>
      <c r="C177" s="108">
        <v>28372499</v>
      </c>
      <c r="D177" s="108">
        <v>25033613</v>
      </c>
      <c r="E177" s="108">
        <v>26332411</v>
      </c>
      <c r="F177" s="108">
        <v>23284618</v>
      </c>
      <c r="G177" s="108">
        <v>25412276</v>
      </c>
      <c r="H177" s="125">
        <v>27253780</v>
      </c>
      <c r="I177" s="108">
        <v>31012030</v>
      </c>
      <c r="J177" s="68">
        <v>32150483</v>
      </c>
      <c r="K177" s="108">
        <v>29760103</v>
      </c>
      <c r="L177" s="108">
        <v>25147090</v>
      </c>
      <c r="M177" s="108">
        <v>24579714</v>
      </c>
      <c r="N177" s="108">
        <v>25126123</v>
      </c>
      <c r="P177" t="s">
        <v>77</v>
      </c>
      <c r="Q177" s="100" t="s">
        <v>78</v>
      </c>
      <c r="R177" s="61">
        <f t="shared" si="50"/>
        <v>79738523</v>
      </c>
      <c r="S177" s="61">
        <f t="shared" si="51"/>
        <v>75950674</v>
      </c>
      <c r="T177" s="61">
        <f t="shared" si="52"/>
        <v>92922616</v>
      </c>
      <c r="U177" s="61">
        <f t="shared" si="53"/>
        <v>74852927</v>
      </c>
      <c r="V177" s="61">
        <f t="shared" si="54"/>
        <v>323464740</v>
      </c>
      <c r="X177" s="62"/>
    </row>
    <row r="178" spans="1:25">
      <c r="A178" t="s">
        <v>79</v>
      </c>
      <c r="B178" s="100" t="s">
        <v>80</v>
      </c>
      <c r="C178" s="108">
        <v>1960320.4230000002</v>
      </c>
      <c r="D178" s="108">
        <v>1780340.2409999997</v>
      </c>
      <c r="E178" s="108">
        <v>1735366.0000000005</v>
      </c>
      <c r="F178" s="108">
        <v>1494706</v>
      </c>
      <c r="G178" s="108">
        <v>1434798</v>
      </c>
      <c r="H178" s="125">
        <v>1424888</v>
      </c>
      <c r="I178" s="108">
        <v>1576860</v>
      </c>
      <c r="J178" s="68">
        <v>1679257</v>
      </c>
      <c r="K178" s="108">
        <v>1814784</v>
      </c>
      <c r="L178" s="108">
        <v>1773058</v>
      </c>
      <c r="M178" s="108">
        <v>2083477</v>
      </c>
      <c r="N178" s="108">
        <v>2087415</v>
      </c>
      <c r="P178" t="s">
        <v>79</v>
      </c>
      <c r="Q178" s="100" t="s">
        <v>80</v>
      </c>
      <c r="R178" s="61">
        <f t="shared" si="50"/>
        <v>5476026.6640000008</v>
      </c>
      <c r="S178" s="61">
        <f t="shared" si="51"/>
        <v>4354392</v>
      </c>
      <c r="T178" s="61">
        <f t="shared" si="52"/>
        <v>5070901</v>
      </c>
      <c r="U178" s="61">
        <f t="shared" si="53"/>
        <v>5943950</v>
      </c>
      <c r="V178" s="61">
        <f t="shared" si="54"/>
        <v>20845269.664000001</v>
      </c>
      <c r="X178" s="62"/>
    </row>
    <row r="179" spans="1:25">
      <c r="A179" t="s">
        <v>81</v>
      </c>
      <c r="B179" s="100" t="s">
        <v>82</v>
      </c>
      <c r="C179" s="108">
        <v>8144508</v>
      </c>
      <c r="D179" s="108">
        <v>8002254</v>
      </c>
      <c r="E179" s="108">
        <v>8115052</v>
      </c>
      <c r="F179" s="108">
        <v>7591581</v>
      </c>
      <c r="G179" s="108">
        <v>7578103</v>
      </c>
      <c r="H179" s="125">
        <v>7883359</v>
      </c>
      <c r="I179" s="108">
        <v>8708989</v>
      </c>
      <c r="J179" s="68">
        <v>8263593</v>
      </c>
      <c r="K179" s="108">
        <v>8689154</v>
      </c>
      <c r="L179" s="108">
        <v>7541456</v>
      </c>
      <c r="M179" s="108">
        <v>7707626</v>
      </c>
      <c r="N179" s="108">
        <v>8302027</v>
      </c>
      <c r="P179" t="s">
        <v>81</v>
      </c>
      <c r="Q179" s="100" t="s">
        <v>82</v>
      </c>
      <c r="R179" s="61">
        <f t="shared" si="50"/>
        <v>24261814</v>
      </c>
      <c r="S179" s="61">
        <f t="shared" si="51"/>
        <v>23053043</v>
      </c>
      <c r="T179" s="61">
        <f t="shared" si="52"/>
        <v>25661736</v>
      </c>
      <c r="U179" s="61">
        <f t="shared" si="53"/>
        <v>23551109</v>
      </c>
      <c r="V179" s="61">
        <f t="shared" si="54"/>
        <v>96527702</v>
      </c>
      <c r="X179" s="62"/>
    </row>
    <row r="180" spans="1:25">
      <c r="A180" t="s">
        <v>83</v>
      </c>
      <c r="B180" s="100" t="s">
        <v>84</v>
      </c>
      <c r="C180" s="127">
        <v>255062</v>
      </c>
      <c r="D180" s="127">
        <v>355184</v>
      </c>
      <c r="E180" s="127">
        <v>335265</v>
      </c>
      <c r="F180" s="127">
        <v>218142</v>
      </c>
      <c r="G180" s="127">
        <v>211961</v>
      </c>
      <c r="H180" s="128">
        <v>233225</v>
      </c>
      <c r="I180" s="127">
        <v>253082</v>
      </c>
      <c r="J180" s="79">
        <v>245829</v>
      </c>
      <c r="K180" s="127">
        <v>268895</v>
      </c>
      <c r="L180" s="127">
        <v>231206</v>
      </c>
      <c r="M180" s="127">
        <v>273473</v>
      </c>
      <c r="N180" s="127">
        <v>269749</v>
      </c>
      <c r="P180" t="s">
        <v>83</v>
      </c>
      <c r="Q180" s="100" t="s">
        <v>84</v>
      </c>
      <c r="R180" s="65">
        <f t="shared" si="50"/>
        <v>945511</v>
      </c>
      <c r="S180" s="65">
        <f t="shared" si="51"/>
        <v>663328</v>
      </c>
      <c r="T180" s="65">
        <f t="shared" si="52"/>
        <v>767806</v>
      </c>
      <c r="U180" s="65">
        <f t="shared" si="53"/>
        <v>774428</v>
      </c>
      <c r="V180" s="65">
        <f t="shared" si="54"/>
        <v>3151073</v>
      </c>
      <c r="X180" s="62"/>
    </row>
    <row r="181" spans="1:25">
      <c r="A181" s="103" t="s">
        <v>85</v>
      </c>
      <c r="C181" s="108">
        <f t="shared" ref="C181:N181" si="55">SUM(C169:C180)</f>
        <v>440789186.42299998</v>
      </c>
      <c r="D181" s="108">
        <f>SUM(D169:D180)</f>
        <v>380958859.241</v>
      </c>
      <c r="E181" s="108">
        <f t="shared" si="55"/>
        <v>379231710</v>
      </c>
      <c r="F181" s="108">
        <f t="shared" si="55"/>
        <v>301185020</v>
      </c>
      <c r="G181" s="108">
        <f t="shared" si="55"/>
        <v>331710553</v>
      </c>
      <c r="H181" s="125">
        <f>SUM(H169:H180)</f>
        <v>370782695</v>
      </c>
      <c r="I181" s="108">
        <f t="shared" si="55"/>
        <v>435242891</v>
      </c>
      <c r="J181" s="68">
        <f t="shared" si="55"/>
        <v>420504696</v>
      </c>
      <c r="K181" s="108">
        <f t="shared" si="55"/>
        <v>404322557</v>
      </c>
      <c r="L181" s="108">
        <f t="shared" si="55"/>
        <v>317059730</v>
      </c>
      <c r="M181" s="108">
        <f t="shared" si="55"/>
        <v>359527615</v>
      </c>
      <c r="N181" s="108">
        <f t="shared" si="55"/>
        <v>392947225</v>
      </c>
      <c r="P181" s="106" t="s">
        <v>85</v>
      </c>
      <c r="R181" s="61">
        <f t="shared" si="50"/>
        <v>1200979755.664</v>
      </c>
      <c r="S181" s="61">
        <f t="shared" si="51"/>
        <v>1003678268</v>
      </c>
      <c r="T181" s="77">
        <f t="shared" si="52"/>
        <v>1260070144</v>
      </c>
      <c r="U181" s="61">
        <f t="shared" si="53"/>
        <v>1069534570</v>
      </c>
      <c r="V181" s="61">
        <f t="shared" si="54"/>
        <v>4534262737.6639996</v>
      </c>
      <c r="X181" s="62"/>
    </row>
    <row r="182" spans="1:25" ht="15.75" thickBot="1">
      <c r="A182" s="103" t="s">
        <v>86</v>
      </c>
      <c r="C182" s="107">
        <f t="shared" ref="C182:N182" si="56">SUM(C169:C173)+SUM(C178:C180)</f>
        <v>412416687.42299998</v>
      </c>
      <c r="D182" s="107">
        <f>SUM(D169:D173)+SUM(D178:D180)</f>
        <v>355925246.241</v>
      </c>
      <c r="E182" s="107">
        <f t="shared" si="56"/>
        <v>352899299</v>
      </c>
      <c r="F182" s="107">
        <f t="shared" si="56"/>
        <v>277900402</v>
      </c>
      <c r="G182" s="107">
        <f t="shared" si="56"/>
        <v>306298277</v>
      </c>
      <c r="H182" s="129">
        <f>SUM(H169:H173)+SUM(H178:H180)</f>
        <v>343528915</v>
      </c>
      <c r="I182" s="107">
        <f t="shared" si="56"/>
        <v>404230861</v>
      </c>
      <c r="J182" s="66">
        <f t="shared" si="56"/>
        <v>388354213</v>
      </c>
      <c r="K182" s="107">
        <f t="shared" si="56"/>
        <v>374562454</v>
      </c>
      <c r="L182" s="107">
        <f t="shared" si="56"/>
        <v>291912640</v>
      </c>
      <c r="M182" s="107">
        <f t="shared" si="56"/>
        <v>334947901</v>
      </c>
      <c r="N182" s="107">
        <f t="shared" si="56"/>
        <v>367821102</v>
      </c>
      <c r="P182" s="106" t="s">
        <v>86</v>
      </c>
      <c r="R182" s="67">
        <f t="shared" si="50"/>
        <v>1121241232.664</v>
      </c>
      <c r="S182" s="67">
        <f t="shared" si="51"/>
        <v>927727594</v>
      </c>
      <c r="T182" s="67">
        <f t="shared" si="52"/>
        <v>1167147528</v>
      </c>
      <c r="U182" s="67">
        <f t="shared" si="53"/>
        <v>994681643</v>
      </c>
      <c r="V182" s="67">
        <f t="shared" si="54"/>
        <v>4210797997.664</v>
      </c>
      <c r="X182" s="62"/>
    </row>
    <row r="183" spans="1:25" ht="15.75" thickTop="1">
      <c r="A183" s="106"/>
      <c r="C183" s="108"/>
      <c r="D183" s="108"/>
      <c r="E183" s="108"/>
      <c r="F183" s="108"/>
      <c r="G183" s="108"/>
      <c r="H183" s="125"/>
      <c r="I183" s="108"/>
      <c r="J183" s="68"/>
      <c r="K183" s="108"/>
      <c r="L183" s="108"/>
      <c r="M183" s="108"/>
      <c r="N183" s="108"/>
      <c r="P183" s="106"/>
      <c r="R183" s="61"/>
      <c r="S183" s="61"/>
      <c r="T183" s="77"/>
      <c r="U183" s="61"/>
      <c r="V183" s="61"/>
      <c r="X183" s="62"/>
    </row>
    <row r="184" spans="1:25">
      <c r="A184" t="s">
        <v>89</v>
      </c>
      <c r="B184" t="s">
        <v>90</v>
      </c>
      <c r="C184" s="108">
        <v>21785181</v>
      </c>
      <c r="D184" s="108">
        <v>-13409610</v>
      </c>
      <c r="E184" s="108">
        <v>-17821794</v>
      </c>
      <c r="F184" s="108">
        <v>-21862713</v>
      </c>
      <c r="G184" s="108">
        <v>6495794</v>
      </c>
      <c r="H184" s="125">
        <v>15916881</v>
      </c>
      <c r="I184" s="108">
        <v>22063107</v>
      </c>
      <c r="J184" s="68">
        <v>-1402238</v>
      </c>
      <c r="K184" s="108">
        <v>-14902358</v>
      </c>
      <c r="L184" s="108">
        <v>-13681227</v>
      </c>
      <c r="M184" s="108">
        <v>10890273</v>
      </c>
      <c r="N184" s="108">
        <v>9410488</v>
      </c>
      <c r="P184" t="s">
        <v>91</v>
      </c>
      <c r="Q184" t="s">
        <v>90</v>
      </c>
      <c r="R184" s="61">
        <f t="shared" si="50"/>
        <v>-9446223</v>
      </c>
      <c r="S184" s="61">
        <f t="shared" si="51"/>
        <v>549962</v>
      </c>
      <c r="T184" s="61">
        <f t="shared" si="52"/>
        <v>5758511</v>
      </c>
      <c r="U184" s="61">
        <f t="shared" si="53"/>
        <v>6619534</v>
      </c>
      <c r="V184" s="61">
        <f t="shared" si="54"/>
        <v>3481784</v>
      </c>
      <c r="X184" s="62"/>
    </row>
    <row r="185" spans="1:25">
      <c r="A185" s="106"/>
      <c r="B185" t="s">
        <v>92</v>
      </c>
      <c r="C185" s="108">
        <v>12680384</v>
      </c>
      <c r="D185" s="108">
        <v>-11873950</v>
      </c>
      <c r="E185" s="108">
        <v>-10482136</v>
      </c>
      <c r="F185" s="108">
        <v>-5225718</v>
      </c>
      <c r="G185" s="108">
        <v>13680159</v>
      </c>
      <c r="H185" s="125">
        <v>14014169</v>
      </c>
      <c r="I185" s="108">
        <v>8181988</v>
      </c>
      <c r="J185" s="68">
        <v>-1309940</v>
      </c>
      <c r="K185" s="108">
        <v>-7981059</v>
      </c>
      <c r="L185" s="108">
        <v>-15623220</v>
      </c>
      <c r="M185" s="108">
        <v>8415275</v>
      </c>
      <c r="N185" s="108">
        <v>635449</v>
      </c>
      <c r="P185" s="106" t="s">
        <v>93</v>
      </c>
      <c r="Q185" t="s">
        <v>92</v>
      </c>
      <c r="R185" s="61">
        <f t="shared" si="50"/>
        <v>-9675702</v>
      </c>
      <c r="S185" s="61">
        <f t="shared" si="51"/>
        <v>22468610</v>
      </c>
      <c r="T185" s="61">
        <f t="shared" si="52"/>
        <v>-1109011</v>
      </c>
      <c r="U185" s="61">
        <f t="shared" si="53"/>
        <v>-6572496</v>
      </c>
      <c r="V185" s="61">
        <f t="shared" si="54"/>
        <v>5111401</v>
      </c>
      <c r="X185" s="62"/>
    </row>
    <row r="186" spans="1:25">
      <c r="B186" t="s">
        <v>94</v>
      </c>
      <c r="C186" s="108">
        <v>767272</v>
      </c>
      <c r="D186" s="108">
        <v>-1189790</v>
      </c>
      <c r="E186" s="108">
        <v>-776257</v>
      </c>
      <c r="F186" s="108">
        <v>-595793</v>
      </c>
      <c r="G186" s="108">
        <v>1996128</v>
      </c>
      <c r="H186" s="125">
        <v>934309</v>
      </c>
      <c r="I186" s="108">
        <v>399217</v>
      </c>
      <c r="J186" s="68">
        <v>-17880</v>
      </c>
      <c r="K186" s="108">
        <v>-1313776</v>
      </c>
      <c r="L186" s="108">
        <v>-511611</v>
      </c>
      <c r="M186" s="108">
        <v>1024535</v>
      </c>
      <c r="N186" s="108">
        <v>-925945</v>
      </c>
      <c r="Q186" t="s">
        <v>94</v>
      </c>
      <c r="R186" s="61">
        <f t="shared" si="50"/>
        <v>-1198775</v>
      </c>
      <c r="S186" s="61">
        <f t="shared" si="51"/>
        <v>2334644</v>
      </c>
      <c r="T186" s="61">
        <f t="shared" si="52"/>
        <v>-932439</v>
      </c>
      <c r="U186" s="61">
        <f t="shared" si="53"/>
        <v>-413021</v>
      </c>
      <c r="V186" s="61">
        <f t="shared" si="54"/>
        <v>-209591</v>
      </c>
      <c r="X186" s="62"/>
    </row>
    <row r="187" spans="1:25">
      <c r="C187" s="108"/>
      <c r="D187" s="108"/>
      <c r="E187" s="108"/>
      <c r="F187" s="108"/>
      <c r="G187" s="108"/>
      <c r="H187" s="125"/>
      <c r="I187" s="108"/>
      <c r="J187" s="68"/>
      <c r="K187" s="108"/>
      <c r="L187" s="108"/>
      <c r="M187" s="108"/>
      <c r="N187" s="108"/>
      <c r="R187" s="61"/>
      <c r="S187" s="61"/>
      <c r="T187" s="61"/>
      <c r="U187" s="61"/>
      <c r="V187" s="61"/>
      <c r="X187" s="62"/>
    </row>
    <row r="188" spans="1:25">
      <c r="C188" s="108"/>
      <c r="D188" s="108"/>
      <c r="E188" s="108"/>
      <c r="F188" s="108"/>
      <c r="G188" s="108"/>
      <c r="H188" s="125"/>
      <c r="I188" s="108"/>
      <c r="J188" s="68"/>
      <c r="K188" s="108"/>
      <c r="L188" s="108"/>
      <c r="M188" s="108"/>
      <c r="N188" s="108"/>
      <c r="R188" s="61"/>
      <c r="S188" s="61"/>
      <c r="T188" s="61"/>
      <c r="U188" s="61"/>
      <c r="V188" s="61"/>
      <c r="X188" s="62"/>
    </row>
    <row r="189" spans="1:25">
      <c r="C189" s="108"/>
      <c r="D189" s="108"/>
      <c r="E189" s="108"/>
      <c r="F189" s="108"/>
      <c r="G189" s="108"/>
      <c r="H189" s="125"/>
      <c r="I189" s="108"/>
      <c r="J189" s="68"/>
      <c r="K189" s="108"/>
      <c r="L189" s="108"/>
      <c r="M189" s="108"/>
      <c r="N189" s="108"/>
      <c r="R189" s="61"/>
      <c r="S189" s="61"/>
      <c r="T189" s="61"/>
      <c r="U189" s="61"/>
      <c r="V189" s="61"/>
      <c r="X189" s="62"/>
    </row>
    <row r="190" spans="1:25">
      <c r="C190" s="108"/>
      <c r="D190" s="108"/>
      <c r="E190" s="108"/>
      <c r="F190" s="108"/>
      <c r="G190" s="108"/>
      <c r="H190" s="125"/>
      <c r="I190" s="108"/>
      <c r="J190" s="68"/>
      <c r="K190" s="108"/>
      <c r="L190" s="108"/>
      <c r="M190" s="108"/>
      <c r="N190" s="108"/>
    </row>
    <row r="191" spans="1:25">
      <c r="A191" s="98" t="s">
        <v>104</v>
      </c>
      <c r="C191" s="108"/>
      <c r="D191" s="108"/>
      <c r="E191" s="108"/>
      <c r="F191" s="108"/>
      <c r="G191" s="108"/>
      <c r="H191" s="125"/>
      <c r="I191" s="108"/>
      <c r="J191" s="68"/>
      <c r="K191" s="108"/>
      <c r="L191" s="108"/>
      <c r="M191" s="108"/>
      <c r="N191" s="108"/>
      <c r="P191" s="98" t="s">
        <v>104</v>
      </c>
    </row>
    <row r="192" spans="1:25">
      <c r="A192" t="s">
        <v>62</v>
      </c>
      <c r="B192" s="100" t="s">
        <v>63</v>
      </c>
      <c r="C192" s="130">
        <v>23610112.279999997</v>
      </c>
      <c r="D192" s="130">
        <v>20954751.609999999</v>
      </c>
      <c r="E192" s="130">
        <v>19918424.659999996</v>
      </c>
      <c r="F192" s="130">
        <v>12612260.27</v>
      </c>
      <c r="G192" s="115">
        <v>13580216.030000003</v>
      </c>
      <c r="H192" s="130">
        <v>17610635.189999998</v>
      </c>
      <c r="I192" s="130">
        <v>24671256.640000001</v>
      </c>
      <c r="J192" s="80">
        <v>22634719.329999998</v>
      </c>
      <c r="K192" s="130">
        <v>20335333.060000002</v>
      </c>
      <c r="L192" s="130">
        <v>15520630.510000005</v>
      </c>
      <c r="M192" s="130">
        <v>17617298.540000003</v>
      </c>
      <c r="N192" s="130">
        <v>20690121.880000003</v>
      </c>
      <c r="P192" t="s">
        <v>62</v>
      </c>
      <c r="Q192" s="100" t="s">
        <v>63</v>
      </c>
      <c r="R192" s="70">
        <f t="shared" ref="R192:R209" si="57">SUM(C192:E192)</f>
        <v>64483288.549999997</v>
      </c>
      <c r="S192" s="70">
        <f t="shared" ref="S192:S209" si="58">SUM(F192:H192)</f>
        <v>43803111.490000002</v>
      </c>
      <c r="T192" s="70">
        <f t="shared" ref="T192:T209" si="59">SUM(I192:K192)</f>
        <v>67641309.030000001</v>
      </c>
      <c r="U192" s="70">
        <f t="shared" ref="U192:U209" si="60">SUM(L192:N192)</f>
        <v>53828050.930000007</v>
      </c>
      <c r="V192" s="70">
        <f t="shared" ref="V192:V209" si="61">SUM(C192:N192)</f>
        <v>229755759.99999997</v>
      </c>
      <c r="X192" s="62"/>
      <c r="Y192" s="62"/>
    </row>
    <row r="193" spans="1:25">
      <c r="A193" t="s">
        <v>64</v>
      </c>
      <c r="B193" s="100" t="s">
        <v>65</v>
      </c>
      <c r="C193" s="130">
        <v>13645825.140000001</v>
      </c>
      <c r="D193" s="130">
        <v>11281585.220000003</v>
      </c>
      <c r="E193" s="130">
        <v>11291046.089999998</v>
      </c>
      <c r="F193" s="130">
        <v>10743632.859999998</v>
      </c>
      <c r="G193" s="115">
        <v>12730841.789999999</v>
      </c>
      <c r="H193" s="130">
        <v>15131112.070000002</v>
      </c>
      <c r="I193" s="130">
        <v>16887745.220000006</v>
      </c>
      <c r="J193" s="81">
        <v>16466379.659999998</v>
      </c>
      <c r="K193" s="115">
        <v>16259814.669999998</v>
      </c>
      <c r="L193" s="115">
        <v>11192076.729999997</v>
      </c>
      <c r="M193" s="115">
        <v>12830287.810000002</v>
      </c>
      <c r="N193" s="115">
        <v>12465671.799999997</v>
      </c>
      <c r="P193" t="s">
        <v>64</v>
      </c>
      <c r="Q193" s="100" t="s">
        <v>65</v>
      </c>
      <c r="R193" s="70">
        <f t="shared" si="57"/>
        <v>36218456.450000003</v>
      </c>
      <c r="S193" s="70">
        <f t="shared" si="58"/>
        <v>38605586.719999999</v>
      </c>
      <c r="T193" s="70">
        <f t="shared" si="59"/>
        <v>49613939.549999997</v>
      </c>
      <c r="U193" s="70">
        <f t="shared" si="60"/>
        <v>36488036.339999996</v>
      </c>
      <c r="V193" s="70">
        <f t="shared" si="61"/>
        <v>160926019.06</v>
      </c>
      <c r="X193" s="62"/>
      <c r="Y193" s="62"/>
    </row>
    <row r="194" spans="1:25">
      <c r="A194" t="s">
        <v>66</v>
      </c>
      <c r="B194" s="100" t="s">
        <v>67</v>
      </c>
      <c r="C194" s="130">
        <v>4835521.7499999991</v>
      </c>
      <c r="D194" s="130">
        <v>4452265.1499999994</v>
      </c>
      <c r="E194" s="130">
        <v>4711238.8900000006</v>
      </c>
      <c r="F194" s="130">
        <v>4639031.9300000006</v>
      </c>
      <c r="G194" s="130">
        <v>5179734.7600000016</v>
      </c>
      <c r="H194" s="130">
        <v>6460515.4899999993</v>
      </c>
      <c r="I194" s="130">
        <v>6743383.4400000013</v>
      </c>
      <c r="J194" s="81">
        <v>6815534.5499999998</v>
      </c>
      <c r="K194" s="115">
        <v>6536701.6399999997</v>
      </c>
      <c r="L194" s="130">
        <v>5273352.59</v>
      </c>
      <c r="M194" s="130">
        <v>5059599.9000000013</v>
      </c>
      <c r="N194" s="115">
        <v>4466965.13</v>
      </c>
      <c r="P194" t="s">
        <v>66</v>
      </c>
      <c r="Q194" s="100" t="s">
        <v>67</v>
      </c>
      <c r="R194" s="70">
        <f t="shared" si="57"/>
        <v>13999025.789999999</v>
      </c>
      <c r="S194" s="70">
        <f t="shared" si="58"/>
        <v>16279282.18</v>
      </c>
      <c r="T194" s="70">
        <f t="shared" si="59"/>
        <v>20095619.630000003</v>
      </c>
      <c r="U194" s="70">
        <f t="shared" si="60"/>
        <v>14799917.620000001</v>
      </c>
      <c r="V194" s="70">
        <f t="shared" si="61"/>
        <v>65173845.219999999</v>
      </c>
      <c r="X194" s="62"/>
      <c r="Y194" s="62"/>
    </row>
    <row r="195" spans="1:25">
      <c r="A195" t="s">
        <v>68</v>
      </c>
      <c r="B195" s="100" t="s">
        <v>69</v>
      </c>
      <c r="C195" s="130">
        <v>527130.51</v>
      </c>
      <c r="D195" s="130">
        <v>519942.05</v>
      </c>
      <c r="E195" s="130">
        <v>505610.13999999996</v>
      </c>
      <c r="F195" s="130">
        <v>743036.11</v>
      </c>
      <c r="G195" s="115">
        <v>738175.32</v>
      </c>
      <c r="H195" s="130">
        <v>888853.82</v>
      </c>
      <c r="I195" s="130">
        <v>886371.58000000019</v>
      </c>
      <c r="J195" s="81">
        <v>835489.94</v>
      </c>
      <c r="K195" s="115">
        <v>720620.65999999992</v>
      </c>
      <c r="L195" s="130">
        <v>547767.18000000017</v>
      </c>
      <c r="M195" s="130">
        <v>570758.31999999983</v>
      </c>
      <c r="N195" s="115">
        <v>541762.74</v>
      </c>
      <c r="P195" t="s">
        <v>68</v>
      </c>
      <c r="Q195" s="100" t="s">
        <v>69</v>
      </c>
      <c r="R195" s="70">
        <f t="shared" si="57"/>
        <v>1552682.7</v>
      </c>
      <c r="S195" s="70">
        <f t="shared" si="58"/>
        <v>2370065.25</v>
      </c>
      <c r="T195" s="70">
        <f t="shared" si="59"/>
        <v>2442482.1799999997</v>
      </c>
      <c r="U195" s="70">
        <f t="shared" si="60"/>
        <v>1660288.24</v>
      </c>
      <c r="V195" s="70">
        <f t="shared" si="61"/>
        <v>8025518.370000001</v>
      </c>
      <c r="X195" s="62"/>
      <c r="Y195" s="62"/>
    </row>
    <row r="196" spans="1:25">
      <c r="A196" t="s">
        <v>70</v>
      </c>
      <c r="B196" s="100" t="s">
        <v>71</v>
      </c>
      <c r="C196" s="130">
        <v>305698.35000000003</v>
      </c>
      <c r="D196" s="130">
        <v>286887.95999999996</v>
      </c>
      <c r="E196" s="130">
        <v>302038.23</v>
      </c>
      <c r="F196" s="130">
        <v>279614.88</v>
      </c>
      <c r="G196" s="130">
        <v>304581.06</v>
      </c>
      <c r="H196" s="130">
        <v>424021.79</v>
      </c>
      <c r="I196" s="130">
        <v>421800.91</v>
      </c>
      <c r="J196" s="80">
        <v>363910.89</v>
      </c>
      <c r="K196" s="130">
        <v>422485.73</v>
      </c>
      <c r="L196" s="130">
        <v>327478.53000000003</v>
      </c>
      <c r="M196" s="130">
        <v>321835.77999999997</v>
      </c>
      <c r="N196" s="130">
        <v>278128.66000000003</v>
      </c>
      <c r="P196" t="s">
        <v>70</v>
      </c>
      <c r="Q196" s="100" t="s">
        <v>71</v>
      </c>
      <c r="R196" s="70">
        <f t="shared" si="57"/>
        <v>894624.54</v>
      </c>
      <c r="S196" s="70">
        <f t="shared" si="58"/>
        <v>1008217.73</v>
      </c>
      <c r="T196" s="70">
        <f t="shared" si="59"/>
        <v>1208197.53</v>
      </c>
      <c r="U196" s="70">
        <f t="shared" si="60"/>
        <v>927442.97000000009</v>
      </c>
      <c r="V196" s="70">
        <f t="shared" si="61"/>
        <v>4038482.77</v>
      </c>
      <c r="X196" s="62"/>
      <c r="Y196" s="62"/>
    </row>
    <row r="197" spans="1:25">
      <c r="A197" s="111" t="s">
        <v>72</v>
      </c>
      <c r="B197" s="100"/>
      <c r="C197" s="131">
        <v>0</v>
      </c>
      <c r="D197" s="131">
        <v>0</v>
      </c>
      <c r="E197" s="132">
        <v>0</v>
      </c>
      <c r="F197" s="132">
        <v>0</v>
      </c>
      <c r="G197" s="132">
        <v>0</v>
      </c>
      <c r="H197" s="132">
        <v>0</v>
      </c>
      <c r="I197" s="131">
        <v>0</v>
      </c>
      <c r="J197" s="82">
        <v>0</v>
      </c>
      <c r="K197" s="132">
        <v>0</v>
      </c>
      <c r="L197" s="132">
        <v>0</v>
      </c>
      <c r="M197" s="132">
        <v>0</v>
      </c>
      <c r="N197" s="132">
        <v>0</v>
      </c>
      <c r="O197" s="133"/>
      <c r="P197" t="s">
        <v>72</v>
      </c>
      <c r="Q197" s="133"/>
      <c r="R197" s="70">
        <f>SUM(C197:E197)</f>
        <v>0</v>
      </c>
      <c r="S197" s="70">
        <f>SUM(F197:H197)</f>
        <v>0</v>
      </c>
      <c r="T197" s="70">
        <f>SUM(I197:K197)</f>
        <v>0</v>
      </c>
      <c r="U197" s="70">
        <f>SUM(L197:N197)</f>
        <v>0</v>
      </c>
      <c r="V197" s="70">
        <f>SUM(C197:N197)</f>
        <v>0</v>
      </c>
      <c r="X197" s="62"/>
      <c r="Y197" s="62"/>
    </row>
    <row r="198" spans="1:25">
      <c r="A198" t="s">
        <v>73</v>
      </c>
      <c r="B198" s="100" t="s">
        <v>74</v>
      </c>
      <c r="C198" s="131">
        <v>0</v>
      </c>
      <c r="D198" s="131">
        <v>0</v>
      </c>
      <c r="E198" s="132">
        <v>0</v>
      </c>
      <c r="F198" s="132">
        <v>0</v>
      </c>
      <c r="G198" s="132">
        <v>0</v>
      </c>
      <c r="H198" s="132">
        <v>0</v>
      </c>
      <c r="I198" s="131">
        <v>0</v>
      </c>
      <c r="J198" s="82">
        <v>0</v>
      </c>
      <c r="K198" s="132">
        <v>0</v>
      </c>
      <c r="L198" s="132">
        <v>0</v>
      </c>
      <c r="M198" s="132">
        <v>0</v>
      </c>
      <c r="N198" s="132">
        <v>0</v>
      </c>
      <c r="P198" t="s">
        <v>73</v>
      </c>
      <c r="Q198" s="100" t="s">
        <v>74</v>
      </c>
      <c r="R198" s="70">
        <f t="shared" si="57"/>
        <v>0</v>
      </c>
      <c r="S198" s="70">
        <f t="shared" si="58"/>
        <v>0</v>
      </c>
      <c r="T198" s="70">
        <f t="shared" si="59"/>
        <v>0</v>
      </c>
      <c r="U198" s="70">
        <f t="shared" si="60"/>
        <v>0</v>
      </c>
      <c r="V198" s="70">
        <f t="shared" si="61"/>
        <v>0</v>
      </c>
      <c r="X198" s="62"/>
      <c r="Y198" s="62"/>
    </row>
    <row r="199" spans="1:25">
      <c r="A199" t="s">
        <v>75</v>
      </c>
      <c r="B199" s="100" t="s">
        <v>76</v>
      </c>
      <c r="C199" s="131">
        <v>0</v>
      </c>
      <c r="D199" s="131">
        <v>0</v>
      </c>
      <c r="E199" s="132">
        <v>0</v>
      </c>
      <c r="F199" s="132">
        <v>0</v>
      </c>
      <c r="G199" s="132">
        <v>0</v>
      </c>
      <c r="H199" s="132">
        <v>0</v>
      </c>
      <c r="I199" s="131">
        <v>0</v>
      </c>
      <c r="J199" s="82">
        <v>0</v>
      </c>
      <c r="K199" s="132">
        <v>0</v>
      </c>
      <c r="L199" s="132">
        <v>0</v>
      </c>
      <c r="M199" s="132">
        <v>0</v>
      </c>
      <c r="N199" s="132">
        <v>0</v>
      </c>
      <c r="P199" t="s">
        <v>75</v>
      </c>
      <c r="Q199" s="100" t="s">
        <v>76</v>
      </c>
      <c r="R199" s="70">
        <f t="shared" si="57"/>
        <v>0</v>
      </c>
      <c r="S199" s="70">
        <f t="shared" si="58"/>
        <v>0</v>
      </c>
      <c r="T199" s="70">
        <f t="shared" si="59"/>
        <v>0</v>
      </c>
      <c r="U199" s="70">
        <f t="shared" si="60"/>
        <v>0</v>
      </c>
      <c r="V199" s="70">
        <f t="shared" si="61"/>
        <v>0</v>
      </c>
      <c r="X199" s="62"/>
      <c r="Y199" s="62"/>
    </row>
    <row r="200" spans="1:25">
      <c r="A200" t="s">
        <v>77</v>
      </c>
      <c r="B200" s="100" t="s">
        <v>78</v>
      </c>
      <c r="C200" s="130">
        <v>2032394.47</v>
      </c>
      <c r="D200" s="130">
        <v>1802667.71</v>
      </c>
      <c r="E200" s="115">
        <v>1713317.48</v>
      </c>
      <c r="F200" s="130">
        <v>1536218.1400000001</v>
      </c>
      <c r="G200" s="130">
        <v>1610794.6</v>
      </c>
      <c r="H200" s="130">
        <v>1148873.9300000002</v>
      </c>
      <c r="I200" s="130">
        <v>1399885.35</v>
      </c>
      <c r="J200" s="80">
        <v>1517884.5899999999</v>
      </c>
      <c r="K200" s="130">
        <v>1404534.16</v>
      </c>
      <c r="L200" s="130">
        <v>1306500.0299999998</v>
      </c>
      <c r="M200" s="130">
        <v>1200718.75</v>
      </c>
      <c r="N200" s="115">
        <v>1253633.3999999999</v>
      </c>
      <c r="P200" t="s">
        <v>77</v>
      </c>
      <c r="Q200" s="100" t="s">
        <v>78</v>
      </c>
      <c r="R200" s="70">
        <f t="shared" si="57"/>
        <v>5548379.6600000001</v>
      </c>
      <c r="S200" s="70">
        <f t="shared" si="58"/>
        <v>4295886.67</v>
      </c>
      <c r="T200" s="70">
        <f t="shared" si="59"/>
        <v>4322304.0999999996</v>
      </c>
      <c r="U200" s="70">
        <f t="shared" si="60"/>
        <v>3760852.1799999997</v>
      </c>
      <c r="V200" s="70">
        <f t="shared" si="61"/>
        <v>17927422.609999999</v>
      </c>
      <c r="X200" s="62"/>
      <c r="Y200" s="62"/>
    </row>
    <row r="201" spans="1:25">
      <c r="A201" t="s">
        <v>79</v>
      </c>
      <c r="B201" s="100" t="s">
        <v>80</v>
      </c>
      <c r="C201" s="130">
        <v>286395.82</v>
      </c>
      <c r="D201" s="130">
        <v>297374.47000000003</v>
      </c>
      <c r="E201" s="130">
        <v>297249.1100000001</v>
      </c>
      <c r="F201" s="130">
        <v>293896.01000000007</v>
      </c>
      <c r="G201" s="115">
        <v>298079.31</v>
      </c>
      <c r="H201" s="130">
        <v>316445.77999999991</v>
      </c>
      <c r="I201" s="130">
        <v>331524.36</v>
      </c>
      <c r="J201" s="81">
        <v>331000.83000000007</v>
      </c>
      <c r="K201" s="115">
        <v>337270.78</v>
      </c>
      <c r="L201" s="130">
        <v>299193.78999999998</v>
      </c>
      <c r="M201" s="130">
        <v>306826.25000000006</v>
      </c>
      <c r="N201" s="115">
        <v>310033.83999999997</v>
      </c>
      <c r="P201" t="s">
        <v>79</v>
      </c>
      <c r="Q201" s="100" t="s">
        <v>80</v>
      </c>
      <c r="R201" s="70">
        <f t="shared" si="57"/>
        <v>881019.40000000014</v>
      </c>
      <c r="S201" s="70">
        <f t="shared" si="58"/>
        <v>908421.1</v>
      </c>
      <c r="T201" s="70">
        <f t="shared" si="59"/>
        <v>999795.97000000009</v>
      </c>
      <c r="U201" s="70">
        <f t="shared" si="60"/>
        <v>916053.88</v>
      </c>
      <c r="V201" s="70">
        <f t="shared" si="61"/>
        <v>3705290.3499999996</v>
      </c>
      <c r="X201" s="62"/>
      <c r="Y201" s="62"/>
    </row>
    <row r="202" spans="1:25">
      <c r="A202" t="s">
        <v>81</v>
      </c>
      <c r="B202" s="100" t="s">
        <v>82</v>
      </c>
      <c r="C202" s="130">
        <v>841710.92999999993</v>
      </c>
      <c r="D202" s="130">
        <v>824682.10000000009</v>
      </c>
      <c r="E202" s="130">
        <v>842753.98999999987</v>
      </c>
      <c r="F202" s="130">
        <v>789933.03999999992</v>
      </c>
      <c r="G202" s="115">
        <v>785207.24999999988</v>
      </c>
      <c r="H202" s="130">
        <v>882571.38</v>
      </c>
      <c r="I202" s="130">
        <v>1018886.3599999999</v>
      </c>
      <c r="J202" s="81">
        <v>974736.82</v>
      </c>
      <c r="K202" s="115">
        <v>1008564.13</v>
      </c>
      <c r="L202" s="115">
        <v>853215.1399999999</v>
      </c>
      <c r="M202" s="115">
        <v>825215.82</v>
      </c>
      <c r="N202" s="115">
        <v>865380.79999999993</v>
      </c>
      <c r="P202" t="s">
        <v>81</v>
      </c>
      <c r="Q202" s="100" t="s">
        <v>82</v>
      </c>
      <c r="R202" s="70">
        <f t="shared" si="57"/>
        <v>2509147.02</v>
      </c>
      <c r="S202" s="70">
        <f t="shared" si="58"/>
        <v>2457711.67</v>
      </c>
      <c r="T202" s="70">
        <f t="shared" si="59"/>
        <v>3002187.3099999996</v>
      </c>
      <c r="U202" s="70">
        <f t="shared" si="60"/>
        <v>2543811.7599999998</v>
      </c>
      <c r="V202" s="70">
        <f t="shared" si="61"/>
        <v>10512857.760000002</v>
      </c>
      <c r="X202" s="62"/>
      <c r="Y202" s="62"/>
    </row>
    <row r="203" spans="1:25">
      <c r="A203" t="s">
        <v>83</v>
      </c>
      <c r="B203" s="100" t="s">
        <v>84</v>
      </c>
      <c r="C203" s="134">
        <v>26371.170000000002</v>
      </c>
      <c r="D203" s="134">
        <v>33323.729999999996</v>
      </c>
      <c r="E203" s="134">
        <v>34855.78</v>
      </c>
      <c r="F203" s="134">
        <v>22723.13</v>
      </c>
      <c r="G203" s="135">
        <v>21893.86</v>
      </c>
      <c r="H203" s="134">
        <v>24664.640000000007</v>
      </c>
      <c r="I203" s="134">
        <v>28407.080000000005</v>
      </c>
      <c r="J203" s="83">
        <v>27348.190000000002</v>
      </c>
      <c r="K203" s="135">
        <v>30845.070000000003</v>
      </c>
      <c r="L203" s="135">
        <v>27287.81</v>
      </c>
      <c r="M203" s="135">
        <v>28690.330000000005</v>
      </c>
      <c r="N203" s="135">
        <v>26439.450000000004</v>
      </c>
      <c r="P203" t="s">
        <v>83</v>
      </c>
      <c r="Q203" s="100" t="s">
        <v>84</v>
      </c>
      <c r="R203" s="73">
        <f t="shared" si="57"/>
        <v>94550.68</v>
      </c>
      <c r="S203" s="73">
        <f t="shared" si="58"/>
        <v>69281.63</v>
      </c>
      <c r="T203" s="73">
        <f t="shared" si="59"/>
        <v>86600.340000000011</v>
      </c>
      <c r="U203" s="73">
        <f t="shared" si="60"/>
        <v>82417.590000000011</v>
      </c>
      <c r="V203" s="73">
        <f t="shared" si="61"/>
        <v>332850.24000000005</v>
      </c>
      <c r="X203" s="62"/>
      <c r="Y203" s="62"/>
    </row>
    <row r="204" spans="1:25">
      <c r="A204" s="103" t="s">
        <v>85</v>
      </c>
      <c r="C204" s="115">
        <f t="shared" ref="C204:N204" si="62">SUM(C192:C203)</f>
        <v>46111160.420000002</v>
      </c>
      <c r="D204" s="115">
        <f>SUM(D192:D203)</f>
        <v>40453480</v>
      </c>
      <c r="E204" s="115">
        <f>SUM(E192:E203)</f>
        <v>39616534.36999999</v>
      </c>
      <c r="F204" s="115">
        <f t="shared" si="62"/>
        <v>31660346.369999994</v>
      </c>
      <c r="G204" s="115">
        <f t="shared" si="62"/>
        <v>35249523.980000004</v>
      </c>
      <c r="H204" s="115">
        <f>SUM(H192:H203)</f>
        <v>42887694.090000004</v>
      </c>
      <c r="I204" s="115">
        <f t="shared" si="62"/>
        <v>52389260.940000005</v>
      </c>
      <c r="J204" s="81">
        <f t="shared" si="62"/>
        <v>49967004.79999999</v>
      </c>
      <c r="K204" s="115">
        <f t="shared" si="62"/>
        <v>47056169.899999999</v>
      </c>
      <c r="L204" s="115">
        <f t="shared" si="62"/>
        <v>35347502.310000002</v>
      </c>
      <c r="M204" s="115">
        <f t="shared" si="62"/>
        <v>38761231.500000007</v>
      </c>
      <c r="N204" s="115">
        <f t="shared" si="62"/>
        <v>40898137.700000003</v>
      </c>
      <c r="P204" s="106" t="s">
        <v>85</v>
      </c>
      <c r="R204" s="70">
        <f t="shared" si="57"/>
        <v>126181174.78999999</v>
      </c>
      <c r="S204" s="70">
        <f t="shared" si="58"/>
        <v>109797564.44</v>
      </c>
      <c r="T204" s="70">
        <f t="shared" si="59"/>
        <v>149412435.63999999</v>
      </c>
      <c r="U204" s="70">
        <f t="shared" si="60"/>
        <v>115006871.51000001</v>
      </c>
      <c r="V204" s="70">
        <f t="shared" si="61"/>
        <v>500398046.38</v>
      </c>
      <c r="X204" s="62"/>
    </row>
    <row r="205" spans="1:25" ht="15.75" thickBot="1">
      <c r="A205" s="103" t="s">
        <v>86</v>
      </c>
      <c r="C205" s="118">
        <f t="shared" ref="C205:N205" si="63">SUM(C192:C196)+SUM(C201:C203)</f>
        <v>44078765.950000003</v>
      </c>
      <c r="D205" s="118">
        <f t="shared" si="63"/>
        <v>38650812.289999999</v>
      </c>
      <c r="E205" s="118">
        <f t="shared" si="63"/>
        <v>37903216.889999993</v>
      </c>
      <c r="F205" s="118">
        <f t="shared" si="63"/>
        <v>30124128.229999993</v>
      </c>
      <c r="G205" s="118">
        <f t="shared" si="63"/>
        <v>33638729.380000003</v>
      </c>
      <c r="H205" s="118">
        <f>SUM(H192:H196)+SUM(H201:H203)</f>
        <v>41738820.159999996</v>
      </c>
      <c r="I205" s="118">
        <f t="shared" si="63"/>
        <v>50989375.590000004</v>
      </c>
      <c r="J205" s="74">
        <f t="shared" si="63"/>
        <v>48449120.209999993</v>
      </c>
      <c r="K205" s="118">
        <f t="shared" si="63"/>
        <v>45651635.739999995</v>
      </c>
      <c r="L205" s="118">
        <f t="shared" si="63"/>
        <v>34041002.280000001</v>
      </c>
      <c r="M205" s="118">
        <f t="shared" si="63"/>
        <v>37560512.750000007</v>
      </c>
      <c r="N205" s="118">
        <f t="shared" si="63"/>
        <v>39644504.299999997</v>
      </c>
      <c r="P205" s="106" t="s">
        <v>86</v>
      </c>
      <c r="R205" s="75">
        <f t="shared" si="57"/>
        <v>120632795.13</v>
      </c>
      <c r="S205" s="75">
        <f t="shared" si="58"/>
        <v>105501677.77</v>
      </c>
      <c r="T205" s="75">
        <f t="shared" si="59"/>
        <v>145090131.53999999</v>
      </c>
      <c r="U205" s="75">
        <f t="shared" si="60"/>
        <v>111246019.33</v>
      </c>
      <c r="V205" s="75">
        <f t="shared" si="61"/>
        <v>482470623.77000004</v>
      </c>
      <c r="X205" s="62"/>
    </row>
    <row r="206" spans="1:25" ht="15.75" thickTop="1">
      <c r="A206" s="106"/>
      <c r="C206" s="115"/>
      <c r="D206" s="115"/>
      <c r="E206" s="115"/>
      <c r="F206" s="115"/>
      <c r="G206" s="115"/>
      <c r="H206" s="115"/>
      <c r="I206" s="115"/>
      <c r="J206" s="81"/>
      <c r="K206" s="115"/>
      <c r="L206" s="115"/>
      <c r="M206" s="115"/>
      <c r="N206" s="115"/>
      <c r="P206" s="106"/>
      <c r="R206" s="70"/>
      <c r="S206" s="70"/>
      <c r="T206" s="70"/>
      <c r="U206" s="70"/>
      <c r="V206" s="70"/>
      <c r="X206" s="62"/>
    </row>
    <row r="207" spans="1:25">
      <c r="A207" t="s">
        <v>89</v>
      </c>
      <c r="B207" t="s">
        <v>90</v>
      </c>
      <c r="C207" s="115">
        <v>2564328</v>
      </c>
      <c r="D207" s="115">
        <v>-1389038</v>
      </c>
      <c r="E207" s="115">
        <v>-1966986</v>
      </c>
      <c r="F207" s="115">
        <v>-2752217</v>
      </c>
      <c r="G207" s="115">
        <v>943198</v>
      </c>
      <c r="H207" s="115">
        <v>2293308</v>
      </c>
      <c r="I207" s="115">
        <v>3383958</v>
      </c>
      <c r="J207" s="81">
        <v>-141383</v>
      </c>
      <c r="K207" s="115">
        <v>-2192853</v>
      </c>
      <c r="L207" s="115">
        <v>-2159584</v>
      </c>
      <c r="M207" s="115">
        <v>1009390</v>
      </c>
      <c r="N207" s="115">
        <v>718681</v>
      </c>
      <c r="P207" t="s">
        <v>96</v>
      </c>
      <c r="Q207" t="s">
        <v>90</v>
      </c>
      <c r="R207" s="70">
        <f t="shared" si="57"/>
        <v>-791696</v>
      </c>
      <c r="S207" s="70">
        <f t="shared" si="58"/>
        <v>484289</v>
      </c>
      <c r="T207" s="70">
        <f t="shared" si="59"/>
        <v>1049722</v>
      </c>
      <c r="U207" s="70">
        <f t="shared" si="60"/>
        <v>-431513</v>
      </c>
      <c r="V207" s="70">
        <f t="shared" si="61"/>
        <v>310802</v>
      </c>
      <c r="X207" s="62"/>
    </row>
    <row r="208" spans="1:25">
      <c r="A208" s="106"/>
      <c r="B208" t="s">
        <v>92</v>
      </c>
      <c r="C208" s="115">
        <v>1232973</v>
      </c>
      <c r="D208" s="115">
        <v>-1220335</v>
      </c>
      <c r="E208" s="115">
        <v>-1133054</v>
      </c>
      <c r="F208" s="115">
        <v>-564252</v>
      </c>
      <c r="G208" s="115">
        <v>1768384</v>
      </c>
      <c r="H208" s="115">
        <v>1860286</v>
      </c>
      <c r="I208" s="115">
        <v>1198226</v>
      </c>
      <c r="J208" s="81">
        <v>-139880</v>
      </c>
      <c r="K208" s="115">
        <v>-1285989</v>
      </c>
      <c r="L208" s="115">
        <v>-2042891</v>
      </c>
      <c r="M208" s="115">
        <v>888239</v>
      </c>
      <c r="N208" s="115">
        <v>-129058</v>
      </c>
      <c r="P208" s="106" t="s">
        <v>97</v>
      </c>
      <c r="Q208" t="s">
        <v>92</v>
      </c>
      <c r="R208" s="70">
        <f t="shared" si="57"/>
        <v>-1120416</v>
      </c>
      <c r="S208" s="70">
        <f t="shared" si="58"/>
        <v>3064418</v>
      </c>
      <c r="T208" s="70">
        <f t="shared" si="59"/>
        <v>-227643</v>
      </c>
      <c r="U208" s="70">
        <f t="shared" si="60"/>
        <v>-1283710</v>
      </c>
      <c r="V208" s="70">
        <f t="shared" si="61"/>
        <v>432649</v>
      </c>
      <c r="X208" s="62"/>
    </row>
    <row r="209" spans="1:24">
      <c r="B209" t="s">
        <v>94</v>
      </c>
      <c r="C209" s="115">
        <v>55384</v>
      </c>
      <c r="D209" s="115">
        <v>-112725</v>
      </c>
      <c r="E209" s="115">
        <v>-58162</v>
      </c>
      <c r="F209" s="115">
        <v>-51668</v>
      </c>
      <c r="G209" s="115">
        <v>242243</v>
      </c>
      <c r="H209" s="115">
        <v>104028</v>
      </c>
      <c r="I209" s="115">
        <v>47187</v>
      </c>
      <c r="J209" s="81">
        <v>9055</v>
      </c>
      <c r="K209" s="115">
        <v>-201205</v>
      </c>
      <c r="L209" s="115">
        <v>-61222</v>
      </c>
      <c r="M209" s="115">
        <v>88677</v>
      </c>
      <c r="N209" s="115">
        <v>-97690</v>
      </c>
      <c r="Q209" t="s">
        <v>94</v>
      </c>
      <c r="R209" s="70">
        <f t="shared" si="57"/>
        <v>-115503</v>
      </c>
      <c r="S209" s="70">
        <f t="shared" si="58"/>
        <v>294603</v>
      </c>
      <c r="T209" s="70">
        <f t="shared" si="59"/>
        <v>-144963</v>
      </c>
      <c r="U209" s="70">
        <f t="shared" si="60"/>
        <v>-70235</v>
      </c>
      <c r="V209" s="70">
        <f t="shared" si="61"/>
        <v>-36098</v>
      </c>
      <c r="X209" s="62"/>
    </row>
    <row r="210" spans="1:24">
      <c r="A210" t="s">
        <v>98</v>
      </c>
      <c r="C210" s="133">
        <v>213336.12</v>
      </c>
      <c r="D210" s="133">
        <v>162449.82999999999</v>
      </c>
      <c r="E210" s="133">
        <v>169687.62</v>
      </c>
      <c r="F210" s="133">
        <v>157194.26999999999</v>
      </c>
      <c r="G210" s="133">
        <v>149337.93</v>
      </c>
      <c r="H210" s="133">
        <v>118696.73</v>
      </c>
      <c r="I210" s="133">
        <v>173140.81</v>
      </c>
      <c r="J210" s="84">
        <v>151595.07</v>
      </c>
      <c r="K210" s="133">
        <v>171182.1</v>
      </c>
      <c r="L210" s="133">
        <f>220372.89+830.82</f>
        <v>221203.71000000002</v>
      </c>
      <c r="M210" s="133">
        <f>98979.64+590.7</f>
        <v>99570.34</v>
      </c>
      <c r="N210" s="133">
        <v>0</v>
      </c>
      <c r="P210" t="s">
        <v>98</v>
      </c>
      <c r="R210" s="70">
        <f>SUM(C210:E210)</f>
        <v>545473.56999999995</v>
      </c>
      <c r="S210" s="70">
        <f>SUM(F210:H210)</f>
        <v>425228.92999999993</v>
      </c>
      <c r="T210" s="70">
        <f>SUM(I210:K210)</f>
        <v>495917.98</v>
      </c>
      <c r="U210" s="70">
        <f>SUM(L210:N210)</f>
        <v>320774.05000000005</v>
      </c>
      <c r="V210" s="70">
        <f>SUM(C210:N210)</f>
        <v>1787394.5300000003</v>
      </c>
      <c r="X210" s="62"/>
    </row>
    <row r="211" spans="1:24">
      <c r="C211" s="116"/>
      <c r="D211" s="116"/>
      <c r="E211" s="116"/>
      <c r="F211" s="116"/>
      <c r="G211" s="116"/>
      <c r="H211" s="116"/>
      <c r="I211" s="116"/>
      <c r="J211" s="60"/>
      <c r="K211" s="116"/>
      <c r="L211" s="116"/>
      <c r="M211" s="116"/>
      <c r="N211" s="116"/>
      <c r="R211" s="70"/>
      <c r="S211" s="70"/>
      <c r="T211" s="70"/>
      <c r="U211" s="70"/>
      <c r="V211" s="70"/>
    </row>
    <row r="212" spans="1:24">
      <c r="C212" s="116"/>
      <c r="D212" s="116"/>
      <c r="E212" s="116"/>
      <c r="F212" s="116"/>
      <c r="G212" s="116"/>
      <c r="H212" s="116"/>
      <c r="I212" s="116"/>
      <c r="J212" s="60"/>
      <c r="K212" s="116"/>
      <c r="L212" s="116"/>
      <c r="M212" s="116"/>
      <c r="N212" s="116"/>
      <c r="R212" s="70"/>
      <c r="S212" s="70"/>
      <c r="T212" s="70"/>
      <c r="U212" s="70"/>
      <c r="V212" s="70"/>
    </row>
    <row r="213" spans="1:24">
      <c r="C213" s="116"/>
      <c r="D213" s="116"/>
      <c r="E213" s="116"/>
      <c r="F213" s="116"/>
      <c r="G213" s="116"/>
      <c r="H213" s="116"/>
      <c r="I213" s="116"/>
      <c r="J213" s="60"/>
      <c r="K213" s="116"/>
      <c r="L213" s="116"/>
      <c r="M213" s="116"/>
      <c r="N213" s="116"/>
      <c r="R213" s="70"/>
      <c r="S213" s="70"/>
      <c r="T213" s="70"/>
      <c r="U213" s="70"/>
      <c r="V213" s="70"/>
    </row>
    <row r="214" spans="1:24">
      <c r="C214" s="116"/>
      <c r="D214" s="116"/>
      <c r="E214" s="116"/>
      <c r="F214" s="116"/>
      <c r="G214" s="116"/>
      <c r="H214" s="116"/>
      <c r="I214" s="116"/>
      <c r="J214" s="60"/>
      <c r="K214" s="116"/>
      <c r="L214" s="116"/>
      <c r="M214" s="116"/>
      <c r="N214" s="116"/>
      <c r="R214" s="70"/>
      <c r="S214" s="70"/>
      <c r="T214" s="70"/>
      <c r="U214" s="70"/>
      <c r="V214" s="70"/>
    </row>
    <row r="215" spans="1:24">
      <c r="A215" s="98" t="s">
        <v>244</v>
      </c>
      <c r="P215" s="98" t="s">
        <v>244</v>
      </c>
    </row>
    <row r="216" spans="1:24">
      <c r="I216" s="99"/>
      <c r="J216" s="68"/>
      <c r="K216" s="99"/>
      <c r="L216" s="99"/>
      <c r="M216" s="99"/>
    </row>
    <row r="217" spans="1:24">
      <c r="A217" s="98" t="s">
        <v>105</v>
      </c>
      <c r="P217" s="98" t="s">
        <v>105</v>
      </c>
      <c r="R217" s="100" t="s">
        <v>43</v>
      </c>
      <c r="S217" s="100" t="s">
        <v>44</v>
      </c>
      <c r="T217" s="100" t="s">
        <v>45</v>
      </c>
      <c r="U217" s="101" t="s">
        <v>46</v>
      </c>
      <c r="V217" s="101"/>
    </row>
    <row r="218" spans="1:24">
      <c r="A218" s="98" t="s">
        <v>47</v>
      </c>
      <c r="C218" s="102" t="s">
        <v>48</v>
      </c>
      <c r="D218" s="102" t="s">
        <v>49</v>
      </c>
      <c r="E218" s="102" t="s">
        <v>50</v>
      </c>
      <c r="F218" s="102" t="s">
        <v>51</v>
      </c>
      <c r="G218" s="102" t="s">
        <v>52</v>
      </c>
      <c r="H218" s="102" t="s">
        <v>53</v>
      </c>
      <c r="I218" s="102" t="s">
        <v>54</v>
      </c>
      <c r="J218" s="58" t="s">
        <v>55</v>
      </c>
      <c r="K218" s="102" t="s">
        <v>56</v>
      </c>
      <c r="L218" s="102" t="s">
        <v>57</v>
      </c>
      <c r="M218" s="102" t="s">
        <v>58</v>
      </c>
      <c r="N218" s="102" t="s">
        <v>59</v>
      </c>
      <c r="P218" s="98" t="s">
        <v>47</v>
      </c>
      <c r="R218" s="102" t="s">
        <v>60</v>
      </c>
      <c r="S218" s="102" t="s">
        <v>60</v>
      </c>
      <c r="T218" s="102" t="s">
        <v>60</v>
      </c>
      <c r="U218" s="102" t="s">
        <v>60</v>
      </c>
      <c r="V218" s="102" t="s">
        <v>61</v>
      </c>
    </row>
    <row r="220" spans="1:24">
      <c r="A220" t="s">
        <v>62</v>
      </c>
      <c r="B220" s="100" t="s">
        <v>63</v>
      </c>
      <c r="C220" s="85">
        <f>3769+8</f>
        <v>3777</v>
      </c>
      <c r="D220" s="85">
        <f>3778+9</f>
        <v>3787</v>
      </c>
      <c r="E220" s="85">
        <f>3767+12</f>
        <v>3779</v>
      </c>
      <c r="F220" s="85">
        <f>3752+6</f>
        <v>3758</v>
      </c>
      <c r="G220" s="85">
        <f>3752+7</f>
        <v>3759</v>
      </c>
      <c r="H220" s="85">
        <f>3747+7</f>
        <v>3754</v>
      </c>
      <c r="I220" s="85">
        <f>3741+8</f>
        <v>3749</v>
      </c>
      <c r="J220" s="86">
        <f>3749+8</f>
        <v>3757</v>
      </c>
      <c r="K220" s="85">
        <f>3754+7</f>
        <v>3761</v>
      </c>
      <c r="L220" s="85">
        <f>3751+5</f>
        <v>3756</v>
      </c>
      <c r="M220" s="85">
        <f>3758+5</f>
        <v>3763</v>
      </c>
      <c r="N220" s="85">
        <f>3774+6</f>
        <v>3780</v>
      </c>
      <c r="P220" t="s">
        <v>62</v>
      </c>
      <c r="Q220" s="100" t="s">
        <v>63</v>
      </c>
      <c r="R220" s="61">
        <f>SUM(C220:E220)/3</f>
        <v>3781</v>
      </c>
      <c r="S220" s="61">
        <f>SUM(F220:H220)/3</f>
        <v>3757</v>
      </c>
      <c r="T220" s="61">
        <f>SUM(I220:K220)/3</f>
        <v>3755.6666666666665</v>
      </c>
      <c r="U220" s="61">
        <f>SUM(L220:N220)/3</f>
        <v>3766.3333333333335</v>
      </c>
      <c r="V220" s="61">
        <f>IF(COUNT(C220:N220)=0,0,SUM(C220:N220)/COUNT(C220:N220))</f>
        <v>3765</v>
      </c>
      <c r="X220" s="62"/>
    </row>
    <row r="221" spans="1:24">
      <c r="A221" t="s">
        <v>64</v>
      </c>
      <c r="B221" s="100" t="s">
        <v>65</v>
      </c>
      <c r="C221" s="85">
        <f>799+7</f>
        <v>806</v>
      </c>
      <c r="D221" s="85">
        <f>801+7</f>
        <v>808</v>
      </c>
      <c r="E221" s="85">
        <f>803+7</f>
        <v>810</v>
      </c>
      <c r="F221" s="85">
        <f>804+7</f>
        <v>811</v>
      </c>
      <c r="G221" s="85">
        <f>805+7</f>
        <v>812</v>
      </c>
      <c r="H221" s="85">
        <f>812+7</f>
        <v>819</v>
      </c>
      <c r="I221" s="85">
        <f>811+7</f>
        <v>818</v>
      </c>
      <c r="J221" s="86">
        <f>809+6</f>
        <v>815</v>
      </c>
      <c r="K221" s="85">
        <f>812+6</f>
        <v>818</v>
      </c>
      <c r="L221" s="85">
        <f>813+6</f>
        <v>819</v>
      </c>
      <c r="M221" s="85">
        <f>812+7</f>
        <v>819</v>
      </c>
      <c r="N221" s="85">
        <f>811+7</f>
        <v>818</v>
      </c>
      <c r="P221" t="s">
        <v>64</v>
      </c>
      <c r="Q221" s="100" t="s">
        <v>65</v>
      </c>
      <c r="R221" s="61">
        <f>SUM(C221:E221)/3</f>
        <v>808</v>
      </c>
      <c r="S221" s="61">
        <f>SUM(F221:H221)/3</f>
        <v>814</v>
      </c>
      <c r="T221" s="61">
        <f>SUM(I221:K221)/3</f>
        <v>817</v>
      </c>
      <c r="U221" s="61">
        <f>SUM(L221:N221)/3</f>
        <v>818.66666666666663</v>
      </c>
      <c r="V221" s="61">
        <f t="shared" ref="V221:V231" si="64">IF(COUNT(C221:N221)=0,0,SUM(C221:N221)/COUNT(C221:N221))</f>
        <v>814.41666666666663</v>
      </c>
      <c r="X221" s="62"/>
    </row>
    <row r="222" spans="1:24">
      <c r="A222" t="s">
        <v>66</v>
      </c>
      <c r="B222" s="100" t="s">
        <v>67</v>
      </c>
      <c r="C222" s="85">
        <v>10</v>
      </c>
      <c r="D222" s="85">
        <v>10</v>
      </c>
      <c r="E222" s="85">
        <v>10</v>
      </c>
      <c r="F222" s="85">
        <v>10</v>
      </c>
      <c r="G222" s="85">
        <v>10</v>
      </c>
      <c r="H222" s="85">
        <v>10</v>
      </c>
      <c r="I222" s="85">
        <v>10</v>
      </c>
      <c r="J222" s="86">
        <v>10</v>
      </c>
      <c r="K222" s="85">
        <v>10</v>
      </c>
      <c r="L222" s="85">
        <v>10</v>
      </c>
      <c r="M222" s="85">
        <f>10</f>
        <v>10</v>
      </c>
      <c r="N222" s="85">
        <v>10</v>
      </c>
      <c r="P222" t="s">
        <v>66</v>
      </c>
      <c r="Q222" s="100" t="s">
        <v>67</v>
      </c>
      <c r="R222" s="61">
        <f>SUM(C222:E222)/3</f>
        <v>10</v>
      </c>
      <c r="S222" s="61">
        <f>SUM(F222:H222)/3</f>
        <v>10</v>
      </c>
      <c r="T222" s="61">
        <f>SUM(I222:K222)/3</f>
        <v>10</v>
      </c>
      <c r="U222" s="61">
        <f>SUM(L222:N222)/3</f>
        <v>10</v>
      </c>
      <c r="V222" s="61">
        <f t="shared" si="64"/>
        <v>10</v>
      </c>
      <c r="X222" s="62"/>
    </row>
    <row r="223" spans="1:24">
      <c r="A223" t="s">
        <v>68</v>
      </c>
      <c r="B223" s="100" t="s">
        <v>69</v>
      </c>
      <c r="C223" s="85">
        <v>1</v>
      </c>
      <c r="D223" s="85">
        <v>1</v>
      </c>
      <c r="E223" s="85">
        <v>1</v>
      </c>
      <c r="F223" s="85">
        <v>1</v>
      </c>
      <c r="G223" s="85">
        <v>1</v>
      </c>
      <c r="H223" s="85">
        <v>1</v>
      </c>
      <c r="I223" s="85">
        <v>1</v>
      </c>
      <c r="J223" s="86">
        <v>1</v>
      </c>
      <c r="K223" s="85">
        <v>1</v>
      </c>
      <c r="L223" s="85">
        <v>1</v>
      </c>
      <c r="M223" s="85">
        <v>1</v>
      </c>
      <c r="N223" s="85">
        <v>1</v>
      </c>
      <c r="P223" t="s">
        <v>68</v>
      </c>
      <c r="Q223" s="100" t="s">
        <v>69</v>
      </c>
      <c r="R223" s="61">
        <f t="shared" ref="R223:R233" si="65">SUM(C223:E223)/3</f>
        <v>1</v>
      </c>
      <c r="S223" s="61">
        <f t="shared" ref="S223:S233" si="66">SUM(F223:H223)/3</f>
        <v>1</v>
      </c>
      <c r="T223" s="61">
        <f t="shared" ref="T223:T233" si="67">SUM(I223:K223)/3</f>
        <v>1</v>
      </c>
      <c r="U223" s="61">
        <f t="shared" ref="U223:U233" si="68">SUM(L223:N223)/3</f>
        <v>1</v>
      </c>
      <c r="V223" s="61">
        <f t="shared" si="64"/>
        <v>1</v>
      </c>
      <c r="X223" s="62"/>
    </row>
    <row r="224" spans="1:24">
      <c r="A224" t="s">
        <v>70</v>
      </c>
      <c r="B224" s="100" t="s">
        <v>71</v>
      </c>
      <c r="C224" s="85">
        <v>0</v>
      </c>
      <c r="D224" s="85">
        <v>0</v>
      </c>
      <c r="E224" s="85">
        <v>0</v>
      </c>
      <c r="F224" s="85">
        <v>0</v>
      </c>
      <c r="G224" s="85">
        <v>0</v>
      </c>
      <c r="H224" s="85">
        <v>0</v>
      </c>
      <c r="I224" s="85">
        <v>0</v>
      </c>
      <c r="J224" s="86">
        <v>0</v>
      </c>
      <c r="K224" s="85">
        <v>0</v>
      </c>
      <c r="L224" s="85">
        <v>0</v>
      </c>
      <c r="M224" s="85">
        <v>0</v>
      </c>
      <c r="N224" s="85">
        <v>0</v>
      </c>
      <c r="P224" t="s">
        <v>70</v>
      </c>
      <c r="Q224" s="100" t="s">
        <v>71</v>
      </c>
      <c r="R224" s="61">
        <f t="shared" si="65"/>
        <v>0</v>
      </c>
      <c r="S224" s="61">
        <f t="shared" si="66"/>
        <v>0</v>
      </c>
      <c r="T224" s="61">
        <f t="shared" si="67"/>
        <v>0</v>
      </c>
      <c r="U224" s="61">
        <f t="shared" si="68"/>
        <v>0</v>
      </c>
      <c r="V224" s="61">
        <f t="shared" si="64"/>
        <v>0</v>
      </c>
      <c r="X224" s="62"/>
    </row>
    <row r="225" spans="1:24">
      <c r="A225" s="111" t="s">
        <v>72</v>
      </c>
      <c r="B225" s="100"/>
      <c r="C225" s="85">
        <v>0</v>
      </c>
      <c r="D225" s="85">
        <v>0</v>
      </c>
      <c r="E225" s="85">
        <v>0</v>
      </c>
      <c r="F225" s="85">
        <v>0</v>
      </c>
      <c r="G225" s="85">
        <v>0</v>
      </c>
      <c r="H225" s="85">
        <v>0</v>
      </c>
      <c r="I225" s="85">
        <v>0</v>
      </c>
      <c r="J225" s="86">
        <v>0</v>
      </c>
      <c r="K225" s="85">
        <v>0</v>
      </c>
      <c r="L225" s="85">
        <v>0</v>
      </c>
      <c r="M225" s="85">
        <v>0</v>
      </c>
      <c r="N225" s="85">
        <v>0</v>
      </c>
      <c r="P225" t="s">
        <v>72</v>
      </c>
      <c r="Q225" s="100"/>
      <c r="R225" s="61">
        <f>SUM(C225:E225)/3</f>
        <v>0</v>
      </c>
      <c r="S225" s="61">
        <f>SUM(F225:H225)/3</f>
        <v>0</v>
      </c>
      <c r="T225" s="61">
        <f>SUM(I225:K225)/3</f>
        <v>0</v>
      </c>
      <c r="U225" s="61">
        <f>SUM(L225:N225)/3</f>
        <v>0</v>
      </c>
      <c r="V225" s="61">
        <f>IF(COUNT(C225:N225)=0,0,SUM(C225:N225)/COUNT(C225:N225))</f>
        <v>0</v>
      </c>
      <c r="X225" s="62"/>
    </row>
    <row r="226" spans="1:24">
      <c r="A226" t="s">
        <v>73</v>
      </c>
      <c r="B226" s="100" t="s">
        <v>74</v>
      </c>
      <c r="C226" s="85">
        <v>0</v>
      </c>
      <c r="D226" s="85">
        <v>0</v>
      </c>
      <c r="E226" s="85">
        <v>0</v>
      </c>
      <c r="F226" s="85">
        <v>0</v>
      </c>
      <c r="G226" s="85">
        <v>0</v>
      </c>
      <c r="H226" s="85">
        <v>0</v>
      </c>
      <c r="I226" s="85">
        <v>0</v>
      </c>
      <c r="J226" s="86">
        <v>0</v>
      </c>
      <c r="K226" s="85">
        <v>0</v>
      </c>
      <c r="L226" s="85">
        <v>0</v>
      </c>
      <c r="M226" s="85">
        <v>0</v>
      </c>
      <c r="N226" s="85">
        <v>0</v>
      </c>
      <c r="P226" t="s">
        <v>73</v>
      </c>
      <c r="Q226" s="100" t="s">
        <v>74</v>
      </c>
      <c r="R226" s="61">
        <f t="shared" si="65"/>
        <v>0</v>
      </c>
      <c r="S226" s="61">
        <f t="shared" si="66"/>
        <v>0</v>
      </c>
      <c r="T226" s="61">
        <f t="shared" si="67"/>
        <v>0</v>
      </c>
      <c r="U226" s="61">
        <f t="shared" si="68"/>
        <v>0</v>
      </c>
      <c r="V226" s="61">
        <f t="shared" si="64"/>
        <v>0</v>
      </c>
      <c r="X226" s="62"/>
    </row>
    <row r="227" spans="1:24">
      <c r="A227" t="s">
        <v>75</v>
      </c>
      <c r="B227" s="100" t="s">
        <v>76</v>
      </c>
      <c r="C227" s="85">
        <v>0</v>
      </c>
      <c r="D227" s="85">
        <v>0</v>
      </c>
      <c r="E227" s="85">
        <v>0</v>
      </c>
      <c r="F227" s="85">
        <v>0</v>
      </c>
      <c r="G227" s="85">
        <v>0</v>
      </c>
      <c r="H227" s="85">
        <v>0</v>
      </c>
      <c r="I227" s="85">
        <v>0</v>
      </c>
      <c r="J227" s="86">
        <v>0</v>
      </c>
      <c r="K227" s="85">
        <v>0</v>
      </c>
      <c r="L227" s="85">
        <v>0</v>
      </c>
      <c r="M227" s="85">
        <v>0</v>
      </c>
      <c r="N227" s="85">
        <v>0</v>
      </c>
      <c r="P227" t="s">
        <v>75</v>
      </c>
      <c r="Q227" s="100" t="s">
        <v>76</v>
      </c>
      <c r="R227" s="61">
        <f t="shared" si="65"/>
        <v>0</v>
      </c>
      <c r="S227" s="61">
        <f t="shared" si="66"/>
        <v>0</v>
      </c>
      <c r="T227" s="61">
        <f t="shared" si="67"/>
        <v>0</v>
      </c>
      <c r="U227" s="61">
        <f t="shared" si="68"/>
        <v>0</v>
      </c>
      <c r="V227" s="61">
        <f t="shared" si="64"/>
        <v>0</v>
      </c>
      <c r="X227" s="62"/>
    </row>
    <row r="228" spans="1:24">
      <c r="A228" t="s">
        <v>77</v>
      </c>
      <c r="B228" s="100" t="s">
        <v>78</v>
      </c>
      <c r="C228" s="85">
        <v>0</v>
      </c>
      <c r="D228" s="85">
        <v>0</v>
      </c>
      <c r="E228" s="85">
        <v>0</v>
      </c>
      <c r="F228" s="85">
        <v>0</v>
      </c>
      <c r="G228" s="85">
        <v>0</v>
      </c>
      <c r="H228" s="85">
        <v>0</v>
      </c>
      <c r="I228" s="85">
        <v>0</v>
      </c>
      <c r="J228" s="86">
        <v>0</v>
      </c>
      <c r="K228" s="85">
        <v>0</v>
      </c>
      <c r="L228" s="85">
        <v>0</v>
      </c>
      <c r="M228" s="85">
        <v>0</v>
      </c>
      <c r="N228" s="85">
        <v>0</v>
      </c>
      <c r="P228" t="s">
        <v>77</v>
      </c>
      <c r="Q228" s="100" t="s">
        <v>78</v>
      </c>
      <c r="R228" s="61">
        <f t="shared" si="65"/>
        <v>0</v>
      </c>
      <c r="S228" s="61">
        <f t="shared" si="66"/>
        <v>0</v>
      </c>
      <c r="T228" s="61">
        <f t="shared" si="67"/>
        <v>0</v>
      </c>
      <c r="U228" s="61">
        <f t="shared" si="68"/>
        <v>0</v>
      </c>
      <c r="V228" s="61">
        <f t="shared" si="64"/>
        <v>0</v>
      </c>
      <c r="X228" s="62"/>
    </row>
    <row r="229" spans="1:24">
      <c r="A229" t="s">
        <v>79</v>
      </c>
      <c r="B229" s="100" t="s">
        <v>80</v>
      </c>
      <c r="C229" s="85">
        <v>14</v>
      </c>
      <c r="D229" s="85">
        <v>14</v>
      </c>
      <c r="E229" s="85">
        <f>1+13</f>
        <v>14</v>
      </c>
      <c r="F229" s="85">
        <f>12+1</f>
        <v>13</v>
      </c>
      <c r="G229" s="85">
        <v>13</v>
      </c>
      <c r="H229" s="85">
        <v>13</v>
      </c>
      <c r="I229" s="85">
        <v>13</v>
      </c>
      <c r="J229" s="86">
        <v>13</v>
      </c>
      <c r="K229" s="85">
        <f>12+1</f>
        <v>13</v>
      </c>
      <c r="L229" s="85">
        <f>12+1</f>
        <v>13</v>
      </c>
      <c r="M229" s="85">
        <f>12+1</f>
        <v>13</v>
      </c>
      <c r="N229" s="85">
        <v>13</v>
      </c>
      <c r="P229" t="s">
        <v>79</v>
      </c>
      <c r="Q229" s="100" t="s">
        <v>80</v>
      </c>
      <c r="R229" s="61">
        <f t="shared" si="65"/>
        <v>14</v>
      </c>
      <c r="S229" s="61">
        <f t="shared" si="66"/>
        <v>13</v>
      </c>
      <c r="T229" s="61">
        <f t="shared" si="67"/>
        <v>13</v>
      </c>
      <c r="U229" s="61">
        <f t="shared" si="68"/>
        <v>13</v>
      </c>
      <c r="V229" s="61">
        <f t="shared" si="64"/>
        <v>13.25</v>
      </c>
      <c r="X229" s="62"/>
    </row>
    <row r="230" spans="1:24">
      <c r="A230" t="s">
        <v>81</v>
      </c>
      <c r="B230" s="100" t="s">
        <v>82</v>
      </c>
      <c r="C230" s="85">
        <f>35+43</f>
        <v>78</v>
      </c>
      <c r="D230" s="85">
        <f>35+43</f>
        <v>78</v>
      </c>
      <c r="E230" s="85">
        <f>35+43</f>
        <v>78</v>
      </c>
      <c r="F230" s="85">
        <f>36+43</f>
        <v>79</v>
      </c>
      <c r="G230" s="85">
        <f>36+43</f>
        <v>79</v>
      </c>
      <c r="H230" s="85">
        <f t="shared" ref="H230:M230" si="69">34+43</f>
        <v>77</v>
      </c>
      <c r="I230" s="85">
        <f t="shared" si="69"/>
        <v>77</v>
      </c>
      <c r="J230" s="86">
        <f t="shared" si="69"/>
        <v>77</v>
      </c>
      <c r="K230" s="85">
        <f t="shared" si="69"/>
        <v>77</v>
      </c>
      <c r="L230" s="85">
        <f t="shared" si="69"/>
        <v>77</v>
      </c>
      <c r="M230" s="85">
        <f t="shared" si="69"/>
        <v>77</v>
      </c>
      <c r="N230" s="85">
        <f>34+43</f>
        <v>77</v>
      </c>
      <c r="P230" t="s">
        <v>81</v>
      </c>
      <c r="Q230" s="100" t="s">
        <v>82</v>
      </c>
      <c r="R230" s="61">
        <f t="shared" si="65"/>
        <v>78</v>
      </c>
      <c r="S230" s="61">
        <f t="shared" si="66"/>
        <v>78.333333333333329</v>
      </c>
      <c r="T230" s="61">
        <f t="shared" si="67"/>
        <v>77</v>
      </c>
      <c r="U230" s="61">
        <f t="shared" si="68"/>
        <v>77</v>
      </c>
      <c r="V230" s="61">
        <f t="shared" si="64"/>
        <v>77.583333333333329</v>
      </c>
      <c r="X230" s="62"/>
    </row>
    <row r="231" spans="1:24">
      <c r="A231" t="s">
        <v>83</v>
      </c>
      <c r="B231" s="100" t="s">
        <v>84</v>
      </c>
      <c r="C231" s="87">
        <v>0</v>
      </c>
      <c r="D231" s="87">
        <v>0</v>
      </c>
      <c r="E231" s="87">
        <v>0</v>
      </c>
      <c r="F231" s="87">
        <v>0</v>
      </c>
      <c r="G231" s="87">
        <v>0</v>
      </c>
      <c r="H231" s="87">
        <v>0</v>
      </c>
      <c r="I231" s="87">
        <v>0</v>
      </c>
      <c r="J231" s="88">
        <v>0</v>
      </c>
      <c r="K231" s="87">
        <v>0</v>
      </c>
      <c r="L231" s="87">
        <v>0</v>
      </c>
      <c r="M231" s="87">
        <v>0</v>
      </c>
      <c r="N231" s="87">
        <v>0</v>
      </c>
      <c r="P231" t="s">
        <v>83</v>
      </c>
      <c r="Q231" s="100" t="s">
        <v>84</v>
      </c>
      <c r="R231" s="65">
        <f t="shared" si="65"/>
        <v>0</v>
      </c>
      <c r="S231" s="65">
        <f t="shared" si="66"/>
        <v>0</v>
      </c>
      <c r="T231" s="65">
        <f t="shared" si="67"/>
        <v>0</v>
      </c>
      <c r="U231" s="65">
        <f t="shared" si="68"/>
        <v>0</v>
      </c>
      <c r="V231" s="65">
        <f t="shared" si="64"/>
        <v>0</v>
      </c>
      <c r="X231" s="62"/>
    </row>
    <row r="232" spans="1:24">
      <c r="A232" s="103" t="s">
        <v>85</v>
      </c>
      <c r="C232" s="104">
        <f t="shared" ref="C232:N232" si="70">SUM(C220:C231)</f>
        <v>4686</v>
      </c>
      <c r="D232" s="104">
        <f t="shared" si="70"/>
        <v>4698</v>
      </c>
      <c r="E232" s="104">
        <f t="shared" si="70"/>
        <v>4692</v>
      </c>
      <c r="F232" s="104">
        <f t="shared" si="70"/>
        <v>4672</v>
      </c>
      <c r="G232" s="104">
        <f t="shared" si="70"/>
        <v>4674</v>
      </c>
      <c r="H232" s="104">
        <f t="shared" si="70"/>
        <v>4674</v>
      </c>
      <c r="I232" s="104">
        <f t="shared" si="70"/>
        <v>4668</v>
      </c>
      <c r="J232" s="57">
        <f t="shared" si="70"/>
        <v>4673</v>
      </c>
      <c r="K232" s="104">
        <f t="shared" si="70"/>
        <v>4680</v>
      </c>
      <c r="L232" s="104">
        <f t="shared" si="70"/>
        <v>4676</v>
      </c>
      <c r="M232" s="104">
        <f t="shared" si="70"/>
        <v>4683</v>
      </c>
      <c r="N232" s="104">
        <f t="shared" si="70"/>
        <v>4699</v>
      </c>
      <c r="P232" s="106" t="s">
        <v>85</v>
      </c>
      <c r="R232" s="61">
        <f t="shared" si="65"/>
        <v>4692</v>
      </c>
      <c r="S232" s="61">
        <f t="shared" si="66"/>
        <v>4673.333333333333</v>
      </c>
      <c r="T232" s="61">
        <f t="shared" si="67"/>
        <v>4673.666666666667</v>
      </c>
      <c r="U232" s="61">
        <f t="shared" si="68"/>
        <v>4686</v>
      </c>
      <c r="V232" s="104">
        <f>SUM(V220:V231)</f>
        <v>4681.25</v>
      </c>
      <c r="X232" s="62"/>
    </row>
    <row r="233" spans="1:24" ht="15.75" thickBot="1">
      <c r="A233" s="103" t="s">
        <v>86</v>
      </c>
      <c r="C233" s="107">
        <f t="shared" ref="C233:N233" si="71">SUM(C220:C224)+SUM(C229:C231)</f>
        <v>4686</v>
      </c>
      <c r="D233" s="107">
        <f t="shared" si="71"/>
        <v>4698</v>
      </c>
      <c r="E233" s="107">
        <f t="shared" si="71"/>
        <v>4692</v>
      </c>
      <c r="F233" s="107">
        <f t="shared" si="71"/>
        <v>4672</v>
      </c>
      <c r="G233" s="107">
        <f t="shared" si="71"/>
        <v>4674</v>
      </c>
      <c r="H233" s="107">
        <f t="shared" si="71"/>
        <v>4674</v>
      </c>
      <c r="I233" s="107">
        <f t="shared" si="71"/>
        <v>4668</v>
      </c>
      <c r="J233" s="66">
        <f t="shared" si="71"/>
        <v>4673</v>
      </c>
      <c r="K233" s="107">
        <f t="shared" si="71"/>
        <v>4680</v>
      </c>
      <c r="L233" s="107">
        <f t="shared" si="71"/>
        <v>4676</v>
      </c>
      <c r="M233" s="107">
        <f t="shared" si="71"/>
        <v>4683</v>
      </c>
      <c r="N233" s="107">
        <f t="shared" si="71"/>
        <v>4699</v>
      </c>
      <c r="P233" s="106" t="s">
        <v>86</v>
      </c>
      <c r="R233" s="67">
        <f t="shared" si="65"/>
        <v>4692</v>
      </c>
      <c r="S233" s="67">
        <f t="shared" si="66"/>
        <v>4673.333333333333</v>
      </c>
      <c r="T233" s="67">
        <f t="shared" si="67"/>
        <v>4673.666666666667</v>
      </c>
      <c r="U233" s="67">
        <f t="shared" si="68"/>
        <v>4686</v>
      </c>
      <c r="V233" s="107">
        <f>SUM(V220:V224)+SUM(V229:V231)</f>
        <v>4681.25</v>
      </c>
      <c r="X233" s="62"/>
    </row>
    <row r="234" spans="1:24" ht="15.75" thickTop="1">
      <c r="C234" s="104"/>
      <c r="D234" s="104"/>
      <c r="E234" s="104"/>
      <c r="F234" s="104"/>
      <c r="G234" s="104"/>
      <c r="H234" s="104"/>
      <c r="I234" s="104"/>
      <c r="K234" s="104"/>
      <c r="L234" s="104"/>
      <c r="M234" s="104"/>
      <c r="N234" s="104"/>
      <c r="R234" s="61"/>
      <c r="S234" s="61"/>
      <c r="T234" s="61"/>
      <c r="U234" s="61"/>
      <c r="V234" s="61"/>
    </row>
    <row r="235" spans="1:24">
      <c r="C235" s="104"/>
      <c r="D235" s="104"/>
      <c r="E235" s="104"/>
      <c r="F235" s="104"/>
      <c r="G235" s="104"/>
      <c r="H235" s="104"/>
      <c r="I235" s="104"/>
      <c r="K235" s="104"/>
      <c r="L235" s="104"/>
      <c r="M235" s="104"/>
      <c r="N235" s="104"/>
      <c r="R235" s="61"/>
      <c r="S235" s="61"/>
      <c r="T235" s="61"/>
      <c r="U235" s="61"/>
      <c r="V235" s="61"/>
    </row>
    <row r="236" spans="1:24">
      <c r="C236" s="104"/>
      <c r="D236" s="104"/>
      <c r="E236" s="104"/>
      <c r="F236" s="104"/>
      <c r="G236" s="104"/>
      <c r="H236" s="104"/>
      <c r="I236" s="104"/>
      <c r="K236" s="104"/>
      <c r="L236" s="104"/>
      <c r="M236" s="104"/>
      <c r="N236" s="104"/>
      <c r="R236" s="61"/>
      <c r="S236" s="61"/>
      <c r="T236" s="61"/>
      <c r="U236" s="61"/>
      <c r="V236" s="61"/>
    </row>
    <row r="237" spans="1:24">
      <c r="C237" s="104"/>
      <c r="D237" s="104"/>
      <c r="E237" s="104"/>
      <c r="F237" s="104"/>
      <c r="G237" s="104"/>
      <c r="H237" s="104"/>
      <c r="I237" s="104"/>
      <c r="K237" s="104"/>
      <c r="L237" s="104"/>
      <c r="M237" s="104"/>
      <c r="N237" s="104"/>
      <c r="R237" s="61"/>
      <c r="S237" s="61"/>
      <c r="T237" s="61"/>
      <c r="U237" s="61"/>
      <c r="V237" s="61"/>
    </row>
    <row r="238" spans="1:24">
      <c r="A238" s="98" t="s">
        <v>106</v>
      </c>
      <c r="C238" s="104"/>
      <c r="D238" s="104"/>
      <c r="E238" s="104"/>
      <c r="F238" s="104"/>
      <c r="G238" s="104"/>
      <c r="H238" s="104"/>
      <c r="I238" s="104"/>
      <c r="K238" s="104"/>
      <c r="L238" s="104"/>
      <c r="M238" s="104"/>
      <c r="N238" s="104"/>
      <c r="P238" s="98" t="s">
        <v>106</v>
      </c>
      <c r="R238" s="61"/>
      <c r="S238" s="61"/>
      <c r="T238" s="61"/>
      <c r="U238" s="61"/>
      <c r="V238" s="61"/>
    </row>
    <row r="239" spans="1:24">
      <c r="A239" t="s">
        <v>62</v>
      </c>
      <c r="B239" s="100" t="s">
        <v>63</v>
      </c>
      <c r="C239" s="108">
        <v>6046599</v>
      </c>
      <c r="D239" s="108">
        <v>5101604</v>
      </c>
      <c r="E239" s="108">
        <v>5089810</v>
      </c>
      <c r="F239" s="108">
        <v>2793377</v>
      </c>
      <c r="G239" s="108">
        <v>2768256</v>
      </c>
      <c r="H239" s="108">
        <v>3646756</v>
      </c>
      <c r="I239" s="108">
        <v>4790504</v>
      </c>
      <c r="J239" s="68">
        <v>4963272</v>
      </c>
      <c r="K239" s="108">
        <v>4201464</v>
      </c>
      <c r="L239" s="108">
        <v>3734001</v>
      </c>
      <c r="M239" s="108">
        <v>3308168</v>
      </c>
      <c r="N239" s="108">
        <v>5066758</v>
      </c>
      <c r="P239" t="s">
        <v>62</v>
      </c>
      <c r="Q239" s="100" t="s">
        <v>63</v>
      </c>
      <c r="R239" s="61">
        <f>SUM(C239:E239)</f>
        <v>16238013</v>
      </c>
      <c r="S239" s="61">
        <f>SUM(F239:H239)</f>
        <v>9208389</v>
      </c>
      <c r="T239" s="61">
        <f>SUM(I239:K239)</f>
        <v>13955240</v>
      </c>
      <c r="U239" s="61">
        <f>SUM(L239:N239)</f>
        <v>12108927</v>
      </c>
      <c r="V239" s="61">
        <f>SUM(C239:N239)</f>
        <v>51510569</v>
      </c>
      <c r="X239" s="62"/>
    </row>
    <row r="240" spans="1:24">
      <c r="A240" t="s">
        <v>64</v>
      </c>
      <c r="B240" s="100" t="s">
        <v>65</v>
      </c>
      <c r="C240" s="108">
        <v>4942581</v>
      </c>
      <c r="D240" s="108">
        <v>4069968</v>
      </c>
      <c r="E240" s="108">
        <v>4224155</v>
      </c>
      <c r="F240" s="108">
        <v>3779559</v>
      </c>
      <c r="G240" s="108">
        <v>4821443</v>
      </c>
      <c r="H240" s="108">
        <v>5128857</v>
      </c>
      <c r="I240" s="108">
        <v>5453378</v>
      </c>
      <c r="J240" s="68">
        <v>5851068</v>
      </c>
      <c r="K240" s="108">
        <v>5118886</v>
      </c>
      <c r="L240" s="108">
        <v>4869321</v>
      </c>
      <c r="M240" s="108">
        <v>4129099</v>
      </c>
      <c r="N240" s="108">
        <v>4274997</v>
      </c>
      <c r="P240" t="s">
        <v>64</v>
      </c>
      <c r="Q240" s="100" t="s">
        <v>65</v>
      </c>
      <c r="R240" s="61">
        <f t="shared" ref="R240:R256" si="72">SUM(C240:E240)</f>
        <v>13236704</v>
      </c>
      <c r="S240" s="61">
        <f t="shared" ref="S240:S256" si="73">SUM(F240:H240)</f>
        <v>13729859</v>
      </c>
      <c r="T240" s="61">
        <f t="shared" ref="T240:T256" si="74">SUM(I240:K240)</f>
        <v>16423332</v>
      </c>
      <c r="U240" s="61">
        <f t="shared" ref="U240:U256" si="75">SUM(L240:N240)</f>
        <v>13273417</v>
      </c>
      <c r="V240" s="61">
        <f t="shared" ref="V240:V256" si="76">SUM(C240:N240)</f>
        <v>56663312</v>
      </c>
      <c r="X240" s="62"/>
    </row>
    <row r="241" spans="1:24">
      <c r="A241" t="s">
        <v>66</v>
      </c>
      <c r="B241" s="100" t="s">
        <v>67</v>
      </c>
      <c r="C241" s="108">
        <v>2533973</v>
      </c>
      <c r="D241" s="108">
        <v>2118676.8710000003</v>
      </c>
      <c r="E241" s="108">
        <v>2080273</v>
      </c>
      <c r="F241" s="108">
        <v>2194271</v>
      </c>
      <c r="G241" s="108">
        <v>2555833</v>
      </c>
      <c r="H241" s="108">
        <v>2535717</v>
      </c>
      <c r="I241" s="108">
        <v>2653478</v>
      </c>
      <c r="J241" s="68">
        <v>2422621</v>
      </c>
      <c r="K241" s="108">
        <v>2320801</v>
      </c>
      <c r="L241" s="108">
        <v>2439782</v>
      </c>
      <c r="M241" s="108">
        <v>2148615</v>
      </c>
      <c r="N241" s="108">
        <v>2322621</v>
      </c>
      <c r="P241" t="s">
        <v>66</v>
      </c>
      <c r="Q241" s="100" t="s">
        <v>67</v>
      </c>
      <c r="R241" s="61">
        <f t="shared" si="72"/>
        <v>6732922.8710000003</v>
      </c>
      <c r="S241" s="61">
        <f t="shared" si="73"/>
        <v>7285821</v>
      </c>
      <c r="T241" s="61">
        <f t="shared" si="74"/>
        <v>7396900</v>
      </c>
      <c r="U241" s="61">
        <f t="shared" si="75"/>
        <v>6911018</v>
      </c>
      <c r="V241" s="61">
        <f t="shared" si="76"/>
        <v>28326661.870999999</v>
      </c>
      <c r="X241" s="62"/>
    </row>
    <row r="242" spans="1:24">
      <c r="A242" t="s">
        <v>68</v>
      </c>
      <c r="B242" s="100" t="s">
        <v>69</v>
      </c>
      <c r="C242" s="108">
        <v>1992000</v>
      </c>
      <c r="D242" s="108">
        <v>1640000</v>
      </c>
      <c r="E242" s="108">
        <v>1440000</v>
      </c>
      <c r="F242" s="108">
        <v>2136000</v>
      </c>
      <c r="G242" s="108">
        <v>1744000</v>
      </c>
      <c r="H242" s="108">
        <v>2020000</v>
      </c>
      <c r="I242" s="108">
        <v>2132000</v>
      </c>
      <c r="J242" s="68">
        <v>2108000</v>
      </c>
      <c r="K242" s="108">
        <v>1752000</v>
      </c>
      <c r="L242" s="108">
        <v>1392000</v>
      </c>
      <c r="M242" s="108">
        <v>2112000</v>
      </c>
      <c r="N242" s="108">
        <v>2036000</v>
      </c>
      <c r="P242" t="s">
        <v>68</v>
      </c>
      <c r="Q242" s="100" t="s">
        <v>69</v>
      </c>
      <c r="R242" s="61">
        <f t="shared" si="72"/>
        <v>5072000</v>
      </c>
      <c r="S242" s="61">
        <f t="shared" si="73"/>
        <v>5900000</v>
      </c>
      <c r="T242" s="61">
        <f t="shared" si="74"/>
        <v>5992000</v>
      </c>
      <c r="U242" s="61">
        <f t="shared" si="75"/>
        <v>5540000</v>
      </c>
      <c r="V242" s="61">
        <f t="shared" si="76"/>
        <v>22504000</v>
      </c>
      <c r="X242" s="62"/>
    </row>
    <row r="243" spans="1:24">
      <c r="A243" t="s">
        <v>70</v>
      </c>
      <c r="B243" s="100" t="s">
        <v>71</v>
      </c>
      <c r="C243" s="110">
        <v>0</v>
      </c>
      <c r="D243" s="110">
        <v>0</v>
      </c>
      <c r="E243" s="110">
        <v>0</v>
      </c>
      <c r="F243" s="110">
        <v>0</v>
      </c>
      <c r="G243" s="110">
        <v>0</v>
      </c>
      <c r="H243" s="110">
        <v>0</v>
      </c>
      <c r="I243" s="110">
        <v>0</v>
      </c>
      <c r="J243" s="89">
        <v>0</v>
      </c>
      <c r="K243" s="110">
        <v>0</v>
      </c>
      <c r="L243" s="110">
        <v>0</v>
      </c>
      <c r="M243" s="110">
        <v>0</v>
      </c>
      <c r="N243" s="110">
        <v>0</v>
      </c>
      <c r="P243" t="s">
        <v>70</v>
      </c>
      <c r="Q243" s="100" t="s">
        <v>71</v>
      </c>
      <c r="R243" s="61">
        <f t="shared" si="72"/>
        <v>0</v>
      </c>
      <c r="S243" s="61">
        <f t="shared" si="73"/>
        <v>0</v>
      </c>
      <c r="T243" s="61">
        <f t="shared" si="74"/>
        <v>0</v>
      </c>
      <c r="U243" s="61">
        <f t="shared" si="75"/>
        <v>0</v>
      </c>
      <c r="V243" s="61">
        <f t="shared" si="76"/>
        <v>0</v>
      </c>
      <c r="X243" s="62"/>
    </row>
    <row r="244" spans="1:24">
      <c r="A244" s="111" t="s">
        <v>88</v>
      </c>
      <c r="B244" s="100"/>
      <c r="C244" s="110">
        <v>0</v>
      </c>
      <c r="D244" s="110">
        <v>0</v>
      </c>
      <c r="E244" s="110">
        <v>0</v>
      </c>
      <c r="F244" s="110">
        <v>0</v>
      </c>
      <c r="G244" s="110">
        <v>0</v>
      </c>
      <c r="H244" s="110">
        <v>0</v>
      </c>
      <c r="I244" s="110">
        <v>0</v>
      </c>
      <c r="J244" s="89">
        <v>0</v>
      </c>
      <c r="K244" s="110">
        <v>0</v>
      </c>
      <c r="L244" s="110">
        <v>0</v>
      </c>
      <c r="M244" s="110">
        <v>0</v>
      </c>
      <c r="N244" s="110">
        <v>0</v>
      </c>
      <c r="P244" t="s">
        <v>72</v>
      </c>
      <c r="Q244" s="100"/>
      <c r="R244" s="61">
        <f>SUM(C244:E244)</f>
        <v>0</v>
      </c>
      <c r="S244" s="61">
        <f>SUM(F244:H244)</f>
        <v>0</v>
      </c>
      <c r="T244" s="61">
        <f>SUM(I244:K244)</f>
        <v>0</v>
      </c>
      <c r="U244" s="61">
        <f>SUM(L244:N244)</f>
        <v>0</v>
      </c>
      <c r="V244" s="61">
        <f>SUM(C244:N244)</f>
        <v>0</v>
      </c>
      <c r="X244" s="62"/>
    </row>
    <row r="245" spans="1:24">
      <c r="A245" t="s">
        <v>73</v>
      </c>
      <c r="B245" s="100" t="s">
        <v>74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89">
        <v>0</v>
      </c>
      <c r="K245" s="110">
        <v>0</v>
      </c>
      <c r="L245" s="110">
        <v>0</v>
      </c>
      <c r="M245" s="110">
        <v>0</v>
      </c>
      <c r="N245" s="110">
        <v>0</v>
      </c>
      <c r="P245" t="s">
        <v>73</v>
      </c>
      <c r="Q245" s="100" t="s">
        <v>74</v>
      </c>
      <c r="R245" s="61">
        <f t="shared" si="72"/>
        <v>0</v>
      </c>
      <c r="S245" s="61">
        <f t="shared" si="73"/>
        <v>0</v>
      </c>
      <c r="T245" s="77">
        <f t="shared" si="74"/>
        <v>0</v>
      </c>
      <c r="U245" s="61">
        <f t="shared" si="75"/>
        <v>0</v>
      </c>
      <c r="V245" s="61">
        <f t="shared" si="76"/>
        <v>0</v>
      </c>
      <c r="X245" s="62"/>
    </row>
    <row r="246" spans="1:24">
      <c r="A246" t="s">
        <v>75</v>
      </c>
      <c r="B246" s="100" t="s">
        <v>76</v>
      </c>
      <c r="C246" s="110">
        <v>0</v>
      </c>
      <c r="D246" s="110">
        <v>0</v>
      </c>
      <c r="E246" s="110">
        <v>0</v>
      </c>
      <c r="F246" s="110">
        <v>0</v>
      </c>
      <c r="G246" s="110">
        <v>0</v>
      </c>
      <c r="H246" s="110">
        <v>0</v>
      </c>
      <c r="I246" s="110">
        <v>0</v>
      </c>
      <c r="J246" s="89">
        <v>0</v>
      </c>
      <c r="K246" s="110">
        <v>0</v>
      </c>
      <c r="L246" s="110">
        <v>0</v>
      </c>
      <c r="M246" s="110">
        <v>0</v>
      </c>
      <c r="N246" s="110">
        <v>0</v>
      </c>
      <c r="P246" t="s">
        <v>75</v>
      </c>
      <c r="Q246" s="100" t="s">
        <v>76</v>
      </c>
      <c r="R246" s="61">
        <f t="shared" si="72"/>
        <v>0</v>
      </c>
      <c r="S246" s="61">
        <f t="shared" si="73"/>
        <v>0</v>
      </c>
      <c r="T246" s="61">
        <f t="shared" si="74"/>
        <v>0</v>
      </c>
      <c r="U246" s="61">
        <f t="shared" si="75"/>
        <v>0</v>
      </c>
      <c r="V246" s="61">
        <f t="shared" si="76"/>
        <v>0</v>
      </c>
      <c r="X246" s="62"/>
    </row>
    <row r="247" spans="1:24">
      <c r="A247" t="s">
        <v>77</v>
      </c>
      <c r="B247" s="100" t="s">
        <v>78</v>
      </c>
      <c r="C247" s="110">
        <v>0</v>
      </c>
      <c r="D247" s="110">
        <v>0</v>
      </c>
      <c r="E247" s="110">
        <v>0</v>
      </c>
      <c r="F247" s="110">
        <v>0</v>
      </c>
      <c r="G247" s="110">
        <v>0</v>
      </c>
      <c r="H247" s="110">
        <v>0</v>
      </c>
      <c r="I247" s="110">
        <v>0</v>
      </c>
      <c r="J247" s="89">
        <v>0</v>
      </c>
      <c r="K247" s="110">
        <v>0</v>
      </c>
      <c r="L247" s="110">
        <v>0</v>
      </c>
      <c r="M247" s="110">
        <v>0</v>
      </c>
      <c r="N247" s="110">
        <v>0</v>
      </c>
      <c r="P247" t="s">
        <v>77</v>
      </c>
      <c r="Q247" s="100" t="s">
        <v>78</v>
      </c>
      <c r="R247" s="61">
        <f t="shared" si="72"/>
        <v>0</v>
      </c>
      <c r="S247" s="61">
        <f t="shared" si="73"/>
        <v>0</v>
      </c>
      <c r="T247" s="61">
        <f t="shared" si="74"/>
        <v>0</v>
      </c>
      <c r="U247" s="61">
        <f t="shared" si="75"/>
        <v>0</v>
      </c>
      <c r="V247" s="61">
        <f t="shared" si="76"/>
        <v>0</v>
      </c>
      <c r="X247" s="62"/>
    </row>
    <row r="248" spans="1:24">
      <c r="A248" t="s">
        <v>79</v>
      </c>
      <c r="B248" s="100" t="s">
        <v>80</v>
      </c>
      <c r="C248" s="108">
        <v>67071.997000000003</v>
      </c>
      <c r="D248" s="108">
        <v>57635.363000000005</v>
      </c>
      <c r="E248" s="108">
        <v>56262</v>
      </c>
      <c r="F248" s="108">
        <v>49037</v>
      </c>
      <c r="G248" s="108">
        <v>47647</v>
      </c>
      <c r="H248" s="108">
        <v>42754</v>
      </c>
      <c r="I248" s="108">
        <v>44086</v>
      </c>
      <c r="J248" s="68">
        <v>47369</v>
      </c>
      <c r="K248" s="108">
        <v>51138</v>
      </c>
      <c r="L248" s="108">
        <v>58659</v>
      </c>
      <c r="M248" s="108">
        <v>62694</v>
      </c>
      <c r="N248" s="108">
        <v>66342</v>
      </c>
      <c r="P248" t="s">
        <v>79</v>
      </c>
      <c r="Q248" s="100" t="s">
        <v>80</v>
      </c>
      <c r="R248" s="61">
        <f t="shared" si="72"/>
        <v>180969.36000000002</v>
      </c>
      <c r="S248" s="61">
        <f t="shared" si="73"/>
        <v>139438</v>
      </c>
      <c r="T248" s="61">
        <f t="shared" si="74"/>
        <v>142593</v>
      </c>
      <c r="U248" s="61">
        <f t="shared" si="75"/>
        <v>187695</v>
      </c>
      <c r="V248" s="61">
        <f t="shared" si="76"/>
        <v>650695.36</v>
      </c>
      <c r="X248" s="62"/>
    </row>
    <row r="249" spans="1:24">
      <c r="A249" t="s">
        <v>81</v>
      </c>
      <c r="B249" s="100" t="s">
        <v>82</v>
      </c>
      <c r="C249" s="108">
        <v>192298</v>
      </c>
      <c r="D249" s="108">
        <v>202090</v>
      </c>
      <c r="E249" s="108">
        <v>193865</v>
      </c>
      <c r="F249" s="108">
        <v>169447</v>
      </c>
      <c r="G249" s="108">
        <v>156443</v>
      </c>
      <c r="H249" s="108">
        <v>196991</v>
      </c>
      <c r="I249" s="108">
        <v>181790</v>
      </c>
      <c r="J249" s="68">
        <v>180685</v>
      </c>
      <c r="K249" s="108">
        <v>189921</v>
      </c>
      <c r="L249" s="108">
        <v>185415</v>
      </c>
      <c r="M249" s="108">
        <v>177804</v>
      </c>
      <c r="N249" s="108">
        <v>208474</v>
      </c>
      <c r="P249" t="s">
        <v>81</v>
      </c>
      <c r="Q249" s="100" t="s">
        <v>82</v>
      </c>
      <c r="R249" s="61">
        <f t="shared" si="72"/>
        <v>588253</v>
      </c>
      <c r="S249" s="61">
        <f t="shared" si="73"/>
        <v>522881</v>
      </c>
      <c r="T249" s="61">
        <f t="shared" si="74"/>
        <v>552396</v>
      </c>
      <c r="U249" s="61">
        <f t="shared" si="75"/>
        <v>571693</v>
      </c>
      <c r="V249" s="61">
        <f t="shared" si="76"/>
        <v>2235223</v>
      </c>
      <c r="X249" s="62"/>
    </row>
    <row r="250" spans="1:24">
      <c r="A250" t="s">
        <v>83</v>
      </c>
      <c r="B250" s="100" t="s">
        <v>84</v>
      </c>
      <c r="C250" s="113">
        <v>0</v>
      </c>
      <c r="D250" s="113">
        <v>0</v>
      </c>
      <c r="E250" s="113">
        <v>0</v>
      </c>
      <c r="F250" s="113">
        <v>0</v>
      </c>
      <c r="G250" s="113">
        <v>0</v>
      </c>
      <c r="H250" s="113">
        <v>0</v>
      </c>
      <c r="I250" s="113">
        <v>0</v>
      </c>
      <c r="J250" s="64">
        <v>0</v>
      </c>
      <c r="K250" s="113">
        <v>0</v>
      </c>
      <c r="L250" s="113">
        <v>0</v>
      </c>
      <c r="M250" s="113">
        <v>0</v>
      </c>
      <c r="N250" s="113">
        <v>0</v>
      </c>
      <c r="P250" t="s">
        <v>83</v>
      </c>
      <c r="Q250" s="100" t="s">
        <v>84</v>
      </c>
      <c r="R250" s="65">
        <f t="shared" si="72"/>
        <v>0</v>
      </c>
      <c r="S250" s="65">
        <f t="shared" si="73"/>
        <v>0</v>
      </c>
      <c r="T250" s="65">
        <f t="shared" si="74"/>
        <v>0</v>
      </c>
      <c r="U250" s="65">
        <f t="shared" si="75"/>
        <v>0</v>
      </c>
      <c r="V250" s="65">
        <f t="shared" si="76"/>
        <v>0</v>
      </c>
      <c r="X250" s="62"/>
    </row>
    <row r="251" spans="1:24">
      <c r="A251" s="103" t="s">
        <v>85</v>
      </c>
      <c r="C251" s="108">
        <f t="shared" ref="C251:N251" si="77">SUM(C239:C250)</f>
        <v>15774522.997</v>
      </c>
      <c r="D251" s="108">
        <f>SUM(D239:D250)</f>
        <v>13189974.233999999</v>
      </c>
      <c r="E251" s="108">
        <f t="shared" si="77"/>
        <v>13084365</v>
      </c>
      <c r="F251" s="108">
        <f t="shared" si="77"/>
        <v>11121691</v>
      </c>
      <c r="G251" s="108">
        <f t="shared" si="77"/>
        <v>12093622</v>
      </c>
      <c r="H251" s="108">
        <f>SUM(H239:H250)</f>
        <v>13571075</v>
      </c>
      <c r="I251" s="108">
        <f t="shared" si="77"/>
        <v>15255236</v>
      </c>
      <c r="J251" s="68">
        <f t="shared" si="77"/>
        <v>15573015</v>
      </c>
      <c r="K251" s="108">
        <f t="shared" si="77"/>
        <v>13634210</v>
      </c>
      <c r="L251" s="108">
        <f t="shared" si="77"/>
        <v>12679178</v>
      </c>
      <c r="M251" s="108">
        <f t="shared" si="77"/>
        <v>11938380</v>
      </c>
      <c r="N251" s="108">
        <f t="shared" si="77"/>
        <v>13975192</v>
      </c>
      <c r="P251" s="106" t="s">
        <v>85</v>
      </c>
      <c r="R251" s="61">
        <f t="shared" si="72"/>
        <v>42048862.230999999</v>
      </c>
      <c r="S251" s="61">
        <f t="shared" si="73"/>
        <v>36786388</v>
      </c>
      <c r="T251" s="77">
        <f t="shared" si="74"/>
        <v>44462461</v>
      </c>
      <c r="U251" s="61">
        <f t="shared" si="75"/>
        <v>38592750</v>
      </c>
      <c r="V251" s="61">
        <f t="shared" si="76"/>
        <v>161890461.23100001</v>
      </c>
      <c r="X251" s="62"/>
    </row>
    <row r="252" spans="1:24" ht="15.75" thickBot="1">
      <c r="A252" s="103" t="s">
        <v>86</v>
      </c>
      <c r="C252" s="107">
        <f t="shared" ref="C252:N252" si="78">SUM(C239:C243)+SUM(C248:C250)</f>
        <v>15774522.997</v>
      </c>
      <c r="D252" s="107">
        <f>SUM(D239:D243)+SUM(D248:D250)</f>
        <v>13189974.233999999</v>
      </c>
      <c r="E252" s="107">
        <f t="shared" si="78"/>
        <v>13084365</v>
      </c>
      <c r="F252" s="107">
        <f t="shared" si="78"/>
        <v>11121691</v>
      </c>
      <c r="G252" s="107">
        <f t="shared" si="78"/>
        <v>12093622</v>
      </c>
      <c r="H252" s="107">
        <f>SUM(H239:H243)+SUM(H248:H250)</f>
        <v>13571075</v>
      </c>
      <c r="I252" s="107">
        <f t="shared" si="78"/>
        <v>15255236</v>
      </c>
      <c r="J252" s="66">
        <f t="shared" si="78"/>
        <v>15573015</v>
      </c>
      <c r="K252" s="107">
        <f t="shared" si="78"/>
        <v>13634210</v>
      </c>
      <c r="L252" s="107">
        <f t="shared" si="78"/>
        <v>12679178</v>
      </c>
      <c r="M252" s="107">
        <f t="shared" si="78"/>
        <v>11938380</v>
      </c>
      <c r="N252" s="107">
        <f t="shared" si="78"/>
        <v>13975192</v>
      </c>
      <c r="P252" s="106" t="s">
        <v>86</v>
      </c>
      <c r="R252" s="67">
        <f t="shared" si="72"/>
        <v>42048862.230999999</v>
      </c>
      <c r="S252" s="67">
        <f t="shared" si="73"/>
        <v>36786388</v>
      </c>
      <c r="T252" s="67">
        <f t="shared" si="74"/>
        <v>44462461</v>
      </c>
      <c r="U252" s="67">
        <f t="shared" si="75"/>
        <v>38592750</v>
      </c>
      <c r="V252" s="67">
        <f t="shared" si="76"/>
        <v>161890461.23100001</v>
      </c>
      <c r="X252" s="62"/>
    </row>
    <row r="253" spans="1:24" ht="15.75" thickTop="1">
      <c r="A253" s="106"/>
      <c r="C253" s="108"/>
      <c r="D253" s="108"/>
      <c r="E253" s="108"/>
      <c r="F253" s="108"/>
      <c r="G253" s="108"/>
      <c r="H253" s="108"/>
      <c r="I253" s="108"/>
      <c r="J253" s="68"/>
      <c r="K253" s="108"/>
      <c r="L253" s="108"/>
      <c r="M253" s="108"/>
      <c r="N253" s="108"/>
      <c r="P253" s="106"/>
      <c r="R253" s="61"/>
      <c r="S253" s="61"/>
      <c r="T253" s="77"/>
      <c r="U253" s="61"/>
      <c r="V253" s="61"/>
      <c r="X253" s="62"/>
    </row>
    <row r="254" spans="1:24">
      <c r="A254" t="s">
        <v>89</v>
      </c>
      <c r="B254" t="s">
        <v>90</v>
      </c>
      <c r="C254" s="108">
        <v>773412</v>
      </c>
      <c r="D254" s="108">
        <v>-458094</v>
      </c>
      <c r="E254" s="108">
        <v>-492009</v>
      </c>
      <c r="F254" s="108">
        <v>-704041</v>
      </c>
      <c r="G254" s="108">
        <v>138465</v>
      </c>
      <c r="H254" s="108">
        <v>477376</v>
      </c>
      <c r="I254" s="108">
        <v>587170</v>
      </c>
      <c r="J254" s="68">
        <v>118705</v>
      </c>
      <c r="K254" s="108">
        <v>-494362</v>
      </c>
      <c r="L254" s="108">
        <v>-292910</v>
      </c>
      <c r="M254" s="108">
        <v>14547</v>
      </c>
      <c r="N254" s="108">
        <v>439763</v>
      </c>
      <c r="P254" t="s">
        <v>91</v>
      </c>
      <c r="Q254" t="s">
        <v>90</v>
      </c>
      <c r="R254" s="61">
        <f t="shared" si="72"/>
        <v>-176691</v>
      </c>
      <c r="S254" s="61">
        <f t="shared" si="73"/>
        <v>-88200</v>
      </c>
      <c r="T254" s="61">
        <f t="shared" si="74"/>
        <v>211513</v>
      </c>
      <c r="U254" s="61">
        <f t="shared" si="75"/>
        <v>161400</v>
      </c>
      <c r="V254" s="61">
        <f t="shared" si="76"/>
        <v>108022</v>
      </c>
      <c r="X254" s="62"/>
    </row>
    <row r="255" spans="1:24">
      <c r="A255" s="106"/>
      <c r="B255" t="s">
        <v>92</v>
      </c>
      <c r="C255" s="108">
        <v>412971</v>
      </c>
      <c r="D255" s="108">
        <v>-313677</v>
      </c>
      <c r="E255" s="108">
        <v>-270235</v>
      </c>
      <c r="F255" s="108">
        <v>-207862</v>
      </c>
      <c r="G255" s="108">
        <v>437780</v>
      </c>
      <c r="H255" s="108">
        <v>303142</v>
      </c>
      <c r="I255" s="108">
        <v>179897</v>
      </c>
      <c r="J255" s="68">
        <v>112020</v>
      </c>
      <c r="K255" s="108">
        <v>-370628</v>
      </c>
      <c r="L255" s="108">
        <v>-94015</v>
      </c>
      <c r="M255" s="108">
        <v>-14171</v>
      </c>
      <c r="N255" s="108">
        <v>-55708</v>
      </c>
      <c r="P255" s="106" t="s">
        <v>93</v>
      </c>
      <c r="Q255" t="s">
        <v>92</v>
      </c>
      <c r="R255" s="61">
        <f t="shared" si="72"/>
        <v>-170941</v>
      </c>
      <c r="S255" s="61">
        <f t="shared" si="73"/>
        <v>533060</v>
      </c>
      <c r="T255" s="61">
        <f t="shared" si="74"/>
        <v>-78711</v>
      </c>
      <c r="U255" s="61">
        <f t="shared" si="75"/>
        <v>-163894</v>
      </c>
      <c r="V255" s="61">
        <f t="shared" si="76"/>
        <v>119514</v>
      </c>
      <c r="X255" s="62"/>
    </row>
    <row r="256" spans="1:24">
      <c r="B256" t="s">
        <v>94</v>
      </c>
      <c r="C256" s="108">
        <v>139171</v>
      </c>
      <c r="D256" s="108">
        <v>-104264</v>
      </c>
      <c r="E256" s="108">
        <v>-118492</v>
      </c>
      <c r="F256" s="108">
        <v>-7805</v>
      </c>
      <c r="G256" s="108">
        <v>194546</v>
      </c>
      <c r="H256" s="108">
        <v>65965</v>
      </c>
      <c r="I256" s="108">
        <v>24707</v>
      </c>
      <c r="J256" s="68">
        <v>-61449</v>
      </c>
      <c r="K256" s="108">
        <v>-76940</v>
      </c>
      <c r="L256" s="108">
        <v>48473</v>
      </c>
      <c r="M256" s="108">
        <v>11845</v>
      </c>
      <c r="N256" s="108">
        <v>3478</v>
      </c>
      <c r="Q256" t="s">
        <v>94</v>
      </c>
      <c r="R256" s="61">
        <f t="shared" si="72"/>
        <v>-83585</v>
      </c>
      <c r="S256" s="61">
        <f t="shared" si="73"/>
        <v>252706</v>
      </c>
      <c r="T256" s="61">
        <f t="shared" si="74"/>
        <v>-113682</v>
      </c>
      <c r="U256" s="61">
        <f t="shared" si="75"/>
        <v>63796</v>
      </c>
      <c r="V256" s="61">
        <f t="shared" si="76"/>
        <v>119235</v>
      </c>
      <c r="X256" s="62"/>
    </row>
    <row r="257" spans="1:24">
      <c r="C257" s="108"/>
      <c r="D257" s="108"/>
      <c r="E257" s="108"/>
      <c r="F257" s="108"/>
      <c r="G257" s="108"/>
      <c r="H257" s="108"/>
      <c r="I257" s="108"/>
      <c r="J257" s="68"/>
      <c r="K257" s="108"/>
      <c r="L257" s="108"/>
      <c r="M257" s="108"/>
      <c r="N257" s="108"/>
      <c r="R257" s="61"/>
      <c r="S257" s="61"/>
      <c r="T257" s="61"/>
      <c r="U257" s="61"/>
      <c r="V257" s="61"/>
      <c r="X257" s="62"/>
    </row>
    <row r="258" spans="1:24">
      <c r="C258" s="108"/>
      <c r="D258" s="108"/>
      <c r="E258" s="108"/>
      <c r="F258" s="108"/>
      <c r="G258" s="108"/>
      <c r="H258" s="108"/>
      <c r="I258" s="108"/>
      <c r="J258" s="68"/>
      <c r="K258" s="108"/>
      <c r="L258" s="108"/>
      <c r="M258" s="108"/>
      <c r="N258" s="108"/>
      <c r="R258" s="61"/>
      <c r="S258" s="61"/>
      <c r="T258" s="61"/>
      <c r="U258" s="61"/>
      <c r="V258" s="61"/>
      <c r="X258" s="62"/>
    </row>
    <row r="259" spans="1:24">
      <c r="C259" s="108"/>
      <c r="D259" s="108"/>
      <c r="E259" s="108"/>
      <c r="F259" s="108"/>
      <c r="G259" s="108"/>
      <c r="H259" s="108"/>
      <c r="I259" s="108"/>
      <c r="J259" s="68"/>
      <c r="K259" s="108"/>
      <c r="L259" s="108"/>
      <c r="M259" s="108"/>
      <c r="N259" s="108"/>
      <c r="R259" s="61"/>
      <c r="S259" s="61"/>
      <c r="T259" s="61"/>
      <c r="U259" s="61"/>
      <c r="V259" s="61"/>
      <c r="X259" s="62"/>
    </row>
    <row r="260" spans="1:24">
      <c r="C260" s="108"/>
      <c r="D260" s="108"/>
      <c r="E260" s="108"/>
      <c r="F260" s="108"/>
      <c r="G260" s="108"/>
      <c r="H260" s="108"/>
      <c r="I260" s="108"/>
      <c r="J260" s="68"/>
      <c r="K260" s="108"/>
      <c r="L260" s="108"/>
      <c r="M260" s="108"/>
      <c r="N260" s="108"/>
    </row>
    <row r="261" spans="1:24">
      <c r="A261" s="98" t="s">
        <v>107</v>
      </c>
      <c r="C261" s="108"/>
      <c r="D261" s="108"/>
      <c r="E261" s="108"/>
      <c r="F261" s="108"/>
      <c r="G261" s="108"/>
      <c r="H261" s="108"/>
      <c r="I261" s="108"/>
      <c r="J261" s="68"/>
      <c r="K261" s="108"/>
      <c r="L261" s="108"/>
      <c r="M261" s="108"/>
      <c r="N261" s="108"/>
      <c r="P261" s="98" t="s">
        <v>107</v>
      </c>
    </row>
    <row r="262" spans="1:24">
      <c r="A262" t="s">
        <v>62</v>
      </c>
      <c r="B262" s="100" t="s">
        <v>63</v>
      </c>
      <c r="C262" s="115">
        <v>647064.86999999988</v>
      </c>
      <c r="D262" s="130">
        <v>575452.70000000007</v>
      </c>
      <c r="E262" s="115">
        <v>514737.90999999992</v>
      </c>
      <c r="F262" s="115">
        <v>306183.27</v>
      </c>
      <c r="G262" s="115">
        <v>292920.89</v>
      </c>
      <c r="H262" s="115">
        <v>372178.24</v>
      </c>
      <c r="I262" s="115">
        <v>439674.03</v>
      </c>
      <c r="J262" s="81">
        <v>504459.98</v>
      </c>
      <c r="K262" s="115">
        <v>447836.72</v>
      </c>
      <c r="L262" s="115">
        <v>448200.46999999991</v>
      </c>
      <c r="M262" s="115">
        <v>314560.95999999996</v>
      </c>
      <c r="N262" s="115">
        <v>487454.98000000004</v>
      </c>
      <c r="P262" t="s">
        <v>62</v>
      </c>
      <c r="Q262" s="100" t="s">
        <v>63</v>
      </c>
      <c r="R262" s="70">
        <f t="shared" ref="R262:R279" si="79">SUM(C262:E262)</f>
        <v>1737255.4799999997</v>
      </c>
      <c r="S262" s="70">
        <f t="shared" ref="S262:S279" si="80">SUM(F262:H262)</f>
        <v>971282.4</v>
      </c>
      <c r="T262" s="70">
        <f t="shared" ref="T262:T279" si="81">SUM(I262:K262)</f>
        <v>1391970.73</v>
      </c>
      <c r="U262" s="70">
        <f t="shared" ref="U262:U279" si="82">SUM(L262:N262)</f>
        <v>1250216.4099999999</v>
      </c>
      <c r="V262" s="70">
        <f t="shared" ref="V262:V279" si="83">SUM(C262:N262)</f>
        <v>5350725.0200000005</v>
      </c>
      <c r="X262" s="62"/>
    </row>
    <row r="263" spans="1:24">
      <c r="A263" t="s">
        <v>64</v>
      </c>
      <c r="B263" s="100" t="s">
        <v>65</v>
      </c>
      <c r="C263" s="115">
        <v>510683.78</v>
      </c>
      <c r="D263" s="115">
        <v>442456.44000000006</v>
      </c>
      <c r="E263" s="115">
        <v>410983.18999999994</v>
      </c>
      <c r="F263" s="115">
        <v>371318.74</v>
      </c>
      <c r="G263" s="115">
        <v>428196.49</v>
      </c>
      <c r="H263" s="115">
        <v>435931.94</v>
      </c>
      <c r="I263" s="115">
        <v>407525.38000000006</v>
      </c>
      <c r="J263" s="81">
        <v>493226.26</v>
      </c>
      <c r="K263" s="115">
        <v>456291.55000000005</v>
      </c>
      <c r="L263" s="115">
        <v>463585.24000000011</v>
      </c>
      <c r="M263" s="115">
        <v>368841.79000000004</v>
      </c>
      <c r="N263" s="115">
        <v>393329.99</v>
      </c>
      <c r="P263" t="s">
        <v>64</v>
      </c>
      <c r="Q263" s="100" t="s">
        <v>65</v>
      </c>
      <c r="R263" s="70">
        <f t="shared" si="79"/>
        <v>1364123.4100000001</v>
      </c>
      <c r="S263" s="70">
        <f t="shared" si="80"/>
        <v>1235447.17</v>
      </c>
      <c r="T263" s="70">
        <f t="shared" si="81"/>
        <v>1357043.1900000002</v>
      </c>
      <c r="U263" s="70">
        <f t="shared" si="82"/>
        <v>1225757.02</v>
      </c>
      <c r="V263" s="70">
        <f t="shared" si="83"/>
        <v>5182370.79</v>
      </c>
      <c r="X263" s="62"/>
    </row>
    <row r="264" spans="1:24">
      <c r="A264" t="s">
        <v>66</v>
      </c>
      <c r="B264" s="100" t="s">
        <v>67</v>
      </c>
      <c r="C264" s="115">
        <v>224262.28999999998</v>
      </c>
      <c r="D264" s="115">
        <v>199051.78999999998</v>
      </c>
      <c r="E264" s="115">
        <v>177214.63999999998</v>
      </c>
      <c r="F264" s="115">
        <v>188070.8</v>
      </c>
      <c r="G264" s="115">
        <v>197062.17999999996</v>
      </c>
      <c r="H264" s="115">
        <v>187132.90000000002</v>
      </c>
      <c r="I264" s="115">
        <v>168328.89999999997</v>
      </c>
      <c r="J264" s="81">
        <v>175837.77000000002</v>
      </c>
      <c r="K264" s="115">
        <v>180307.8</v>
      </c>
      <c r="L264" s="115">
        <v>205471.9599999999</v>
      </c>
      <c r="M264" s="115">
        <v>173744.54999999958</v>
      </c>
      <c r="N264" s="115">
        <v>188527.05</v>
      </c>
      <c r="P264" t="s">
        <v>66</v>
      </c>
      <c r="Q264" s="100" t="s">
        <v>67</v>
      </c>
      <c r="R264" s="70">
        <f t="shared" si="79"/>
        <v>600528.72</v>
      </c>
      <c r="S264" s="70">
        <f t="shared" si="80"/>
        <v>572265.88</v>
      </c>
      <c r="T264" s="70">
        <f t="shared" si="81"/>
        <v>524474.47</v>
      </c>
      <c r="U264" s="70">
        <f t="shared" si="82"/>
        <v>567743.55999999947</v>
      </c>
      <c r="V264" s="70">
        <f t="shared" si="83"/>
        <v>2265012.6299999994</v>
      </c>
      <c r="X264" s="62"/>
    </row>
    <row r="265" spans="1:24">
      <c r="A265" t="s">
        <v>68</v>
      </c>
      <c r="B265" s="100" t="s">
        <v>69</v>
      </c>
      <c r="C265" s="115">
        <v>148408.32999999999</v>
      </c>
      <c r="D265" s="115">
        <v>132893.66</v>
      </c>
      <c r="E265" s="115">
        <v>109458.62</v>
      </c>
      <c r="F265" s="115">
        <v>153805.74000000002</v>
      </c>
      <c r="G265" s="115">
        <v>117235.57</v>
      </c>
      <c r="H265" s="115">
        <v>127003.21999999999</v>
      </c>
      <c r="I265" s="115">
        <v>116091.62</v>
      </c>
      <c r="J265" s="81">
        <v>124553.64</v>
      </c>
      <c r="K265" s="115">
        <v>112613.98</v>
      </c>
      <c r="L265" s="115">
        <v>94425.510000000009</v>
      </c>
      <c r="M265" s="115">
        <v>140192.50000000003</v>
      </c>
      <c r="N265" s="115">
        <v>134647.4</v>
      </c>
      <c r="P265" t="s">
        <v>68</v>
      </c>
      <c r="Q265" s="100" t="s">
        <v>69</v>
      </c>
      <c r="R265" s="70">
        <f t="shared" si="79"/>
        <v>390760.61</v>
      </c>
      <c r="S265" s="70">
        <f t="shared" si="80"/>
        <v>398044.53</v>
      </c>
      <c r="T265" s="70">
        <f t="shared" si="81"/>
        <v>353259.24</v>
      </c>
      <c r="U265" s="70">
        <f t="shared" si="82"/>
        <v>369265.41000000003</v>
      </c>
      <c r="V265" s="70">
        <f t="shared" si="83"/>
        <v>1511329.7899999998</v>
      </c>
      <c r="X265" s="62"/>
    </row>
    <row r="266" spans="1:24">
      <c r="A266" t="s">
        <v>70</v>
      </c>
      <c r="B266" s="100" t="s">
        <v>71</v>
      </c>
      <c r="C266" s="136">
        <v>0</v>
      </c>
      <c r="D266" s="136">
        <v>0</v>
      </c>
      <c r="E266" s="136">
        <v>0</v>
      </c>
      <c r="F266" s="136">
        <v>0</v>
      </c>
      <c r="G266" s="136">
        <v>0</v>
      </c>
      <c r="H266" s="136">
        <v>0</v>
      </c>
      <c r="I266" s="136">
        <v>0</v>
      </c>
      <c r="J266" s="90">
        <v>0</v>
      </c>
      <c r="K266" s="136">
        <v>0</v>
      </c>
      <c r="L266" s="136">
        <v>0</v>
      </c>
      <c r="M266" s="136">
        <v>0</v>
      </c>
      <c r="N266" s="136">
        <v>0</v>
      </c>
      <c r="P266" t="s">
        <v>70</v>
      </c>
      <c r="Q266" s="100" t="s">
        <v>71</v>
      </c>
      <c r="R266" s="70">
        <f t="shared" si="79"/>
        <v>0</v>
      </c>
      <c r="S266" s="70">
        <f t="shared" si="80"/>
        <v>0</v>
      </c>
      <c r="T266" s="70">
        <f t="shared" si="81"/>
        <v>0</v>
      </c>
      <c r="U266" s="70">
        <f t="shared" si="82"/>
        <v>0</v>
      </c>
      <c r="V266" s="70">
        <f t="shared" si="83"/>
        <v>0</v>
      </c>
      <c r="X266" s="62"/>
    </row>
    <row r="267" spans="1:24">
      <c r="A267" s="111" t="s">
        <v>72</v>
      </c>
      <c r="B267" s="100"/>
      <c r="C267" s="136">
        <v>0</v>
      </c>
      <c r="D267" s="136">
        <v>0</v>
      </c>
      <c r="E267" s="136">
        <v>0</v>
      </c>
      <c r="F267" s="136">
        <v>0</v>
      </c>
      <c r="G267" s="136">
        <v>0</v>
      </c>
      <c r="H267" s="136">
        <v>0</v>
      </c>
      <c r="I267" s="136">
        <v>0</v>
      </c>
      <c r="J267" s="90">
        <v>0</v>
      </c>
      <c r="K267" s="136">
        <v>0</v>
      </c>
      <c r="L267" s="136">
        <v>0</v>
      </c>
      <c r="M267" s="136">
        <v>0</v>
      </c>
      <c r="N267" s="136">
        <v>0</v>
      </c>
      <c r="P267" t="s">
        <v>72</v>
      </c>
      <c r="Q267" s="100"/>
      <c r="R267" s="70">
        <f>SUM(C267:E267)</f>
        <v>0</v>
      </c>
      <c r="S267" s="70">
        <f>SUM(F267:H267)</f>
        <v>0</v>
      </c>
      <c r="T267" s="70">
        <f>SUM(I267:K267)</f>
        <v>0</v>
      </c>
      <c r="U267" s="70">
        <f>SUM(L267:N267)</f>
        <v>0</v>
      </c>
      <c r="V267" s="70">
        <f>SUM(C267:N267)</f>
        <v>0</v>
      </c>
      <c r="X267" s="62"/>
    </row>
    <row r="268" spans="1:24">
      <c r="A268" t="s">
        <v>73</v>
      </c>
      <c r="B268" s="100" t="s">
        <v>74</v>
      </c>
      <c r="C268" s="136">
        <v>0</v>
      </c>
      <c r="D268" s="136">
        <v>0</v>
      </c>
      <c r="E268" s="136">
        <v>0</v>
      </c>
      <c r="F268" s="136">
        <v>0</v>
      </c>
      <c r="G268" s="136">
        <v>0</v>
      </c>
      <c r="H268" s="136">
        <v>0</v>
      </c>
      <c r="I268" s="136">
        <v>0</v>
      </c>
      <c r="J268" s="90">
        <v>0</v>
      </c>
      <c r="K268" s="136">
        <v>0</v>
      </c>
      <c r="L268" s="136">
        <v>0</v>
      </c>
      <c r="M268" s="136">
        <v>0</v>
      </c>
      <c r="N268" s="136">
        <v>0</v>
      </c>
      <c r="P268" t="s">
        <v>73</v>
      </c>
      <c r="Q268" s="100" t="s">
        <v>74</v>
      </c>
      <c r="R268" s="70">
        <f t="shared" si="79"/>
        <v>0</v>
      </c>
      <c r="S268" s="70">
        <f t="shared" si="80"/>
        <v>0</v>
      </c>
      <c r="T268" s="70">
        <f t="shared" si="81"/>
        <v>0</v>
      </c>
      <c r="U268" s="70">
        <f t="shared" si="82"/>
        <v>0</v>
      </c>
      <c r="V268" s="70">
        <f t="shared" si="83"/>
        <v>0</v>
      </c>
      <c r="X268" s="62"/>
    </row>
    <row r="269" spans="1:24">
      <c r="A269" t="s">
        <v>75</v>
      </c>
      <c r="B269" s="100" t="s">
        <v>76</v>
      </c>
      <c r="C269" s="136">
        <v>0</v>
      </c>
      <c r="D269" s="136">
        <v>0</v>
      </c>
      <c r="E269" s="136">
        <v>0</v>
      </c>
      <c r="F269" s="136">
        <v>0</v>
      </c>
      <c r="G269" s="136">
        <v>0</v>
      </c>
      <c r="H269" s="136">
        <v>0</v>
      </c>
      <c r="I269" s="136">
        <v>0</v>
      </c>
      <c r="J269" s="90">
        <v>0</v>
      </c>
      <c r="K269" s="136">
        <v>0</v>
      </c>
      <c r="L269" s="136">
        <v>0</v>
      </c>
      <c r="M269" s="136">
        <v>0</v>
      </c>
      <c r="N269" s="136">
        <v>0</v>
      </c>
      <c r="P269" t="s">
        <v>75</v>
      </c>
      <c r="Q269" s="100" t="s">
        <v>76</v>
      </c>
      <c r="R269" s="70">
        <f t="shared" si="79"/>
        <v>0</v>
      </c>
      <c r="S269" s="70">
        <f t="shared" si="80"/>
        <v>0</v>
      </c>
      <c r="T269" s="70">
        <f t="shared" si="81"/>
        <v>0</v>
      </c>
      <c r="U269" s="70">
        <f t="shared" si="82"/>
        <v>0</v>
      </c>
      <c r="V269" s="70">
        <f t="shared" si="83"/>
        <v>0</v>
      </c>
      <c r="X269" s="62"/>
    </row>
    <row r="270" spans="1:24">
      <c r="A270" t="s">
        <v>77</v>
      </c>
      <c r="B270" s="100" t="s">
        <v>78</v>
      </c>
      <c r="C270" s="136">
        <v>0</v>
      </c>
      <c r="D270" s="136">
        <v>0</v>
      </c>
      <c r="E270" s="136">
        <v>0</v>
      </c>
      <c r="F270" s="136">
        <v>0</v>
      </c>
      <c r="G270" s="136">
        <v>0</v>
      </c>
      <c r="H270" s="136">
        <v>0</v>
      </c>
      <c r="I270" s="136">
        <v>0</v>
      </c>
      <c r="J270" s="90">
        <v>0</v>
      </c>
      <c r="K270" s="136">
        <v>0</v>
      </c>
      <c r="L270" s="136">
        <v>0</v>
      </c>
      <c r="M270" s="136">
        <v>0</v>
      </c>
      <c r="N270" s="136">
        <v>0</v>
      </c>
      <c r="P270" t="s">
        <v>77</v>
      </c>
      <c r="Q270" s="100" t="s">
        <v>78</v>
      </c>
      <c r="R270" s="70">
        <f t="shared" si="79"/>
        <v>0</v>
      </c>
      <c r="S270" s="70">
        <f t="shared" si="80"/>
        <v>0</v>
      </c>
      <c r="T270" s="70">
        <f t="shared" si="81"/>
        <v>0</v>
      </c>
      <c r="U270" s="70">
        <f t="shared" si="82"/>
        <v>0</v>
      </c>
      <c r="V270" s="70">
        <f t="shared" si="83"/>
        <v>0</v>
      </c>
      <c r="X270" s="62"/>
    </row>
    <row r="271" spans="1:24">
      <c r="A271" t="s">
        <v>79</v>
      </c>
      <c r="B271" s="100" t="s">
        <v>80</v>
      </c>
      <c r="C271" s="115">
        <v>8242.0999999999985</v>
      </c>
      <c r="D271" s="115">
        <v>8065.57</v>
      </c>
      <c r="E271" s="115">
        <v>7651.1099999999988</v>
      </c>
      <c r="F271" s="130">
        <v>7329.88</v>
      </c>
      <c r="G271" s="115">
        <v>7140.9299999999994</v>
      </c>
      <c r="H271" s="115">
        <v>6715.8899999999994</v>
      </c>
      <c r="I271" s="115">
        <v>6337.25</v>
      </c>
      <c r="J271" s="81">
        <v>6591.5099999999993</v>
      </c>
      <c r="K271" s="115">
        <v>6888.8300000000008</v>
      </c>
      <c r="L271" s="115">
        <v>7221.2300000000014</v>
      </c>
      <c r="M271" s="115">
        <v>7344.7400000000007</v>
      </c>
      <c r="N271" s="115">
        <v>7353.11</v>
      </c>
      <c r="P271" t="s">
        <v>79</v>
      </c>
      <c r="Q271" s="100" t="s">
        <v>80</v>
      </c>
      <c r="R271" s="70">
        <f t="shared" si="79"/>
        <v>23958.78</v>
      </c>
      <c r="S271" s="70">
        <f t="shared" si="80"/>
        <v>21186.699999999997</v>
      </c>
      <c r="T271" s="70">
        <f t="shared" si="81"/>
        <v>19817.59</v>
      </c>
      <c r="U271" s="70">
        <f t="shared" si="82"/>
        <v>21919.08</v>
      </c>
      <c r="V271" s="70">
        <f t="shared" si="83"/>
        <v>86882.150000000009</v>
      </c>
      <c r="X271" s="62"/>
    </row>
    <row r="272" spans="1:24">
      <c r="A272" t="s">
        <v>81</v>
      </c>
      <c r="B272" s="100" t="s">
        <v>82</v>
      </c>
      <c r="C272" s="115">
        <v>23400.420000000002</v>
      </c>
      <c r="D272" s="115">
        <v>25722.06</v>
      </c>
      <c r="E272" s="115">
        <v>22946.880000000001</v>
      </c>
      <c r="F272" s="130">
        <v>20519.82</v>
      </c>
      <c r="G272" s="115">
        <v>18082.36</v>
      </c>
      <c r="H272" s="115">
        <v>21524.67</v>
      </c>
      <c r="I272" s="115">
        <v>18564.510000000002</v>
      </c>
      <c r="J272" s="81">
        <v>18985.22</v>
      </c>
      <c r="K272" s="115">
        <v>21239.52</v>
      </c>
      <c r="L272" s="115">
        <v>22823.85</v>
      </c>
      <c r="M272" s="115">
        <v>19842.560000000001</v>
      </c>
      <c r="N272" s="115">
        <v>23797.229999999996</v>
      </c>
      <c r="P272" t="s">
        <v>81</v>
      </c>
      <c r="Q272" s="100" t="s">
        <v>82</v>
      </c>
      <c r="R272" s="70">
        <f t="shared" si="79"/>
        <v>72069.36</v>
      </c>
      <c r="S272" s="70">
        <f t="shared" si="80"/>
        <v>60126.85</v>
      </c>
      <c r="T272" s="70">
        <f t="shared" si="81"/>
        <v>58789.25</v>
      </c>
      <c r="U272" s="70">
        <f t="shared" si="82"/>
        <v>66463.64</v>
      </c>
      <c r="V272" s="70">
        <f t="shared" si="83"/>
        <v>257449.09999999998</v>
      </c>
      <c r="X272" s="62"/>
    </row>
    <row r="273" spans="1:24">
      <c r="A273" t="s">
        <v>83</v>
      </c>
      <c r="B273" s="100" t="s">
        <v>84</v>
      </c>
      <c r="C273" s="117">
        <v>0</v>
      </c>
      <c r="D273" s="117">
        <v>0</v>
      </c>
      <c r="E273" s="117">
        <v>0</v>
      </c>
      <c r="F273" s="117">
        <v>0</v>
      </c>
      <c r="G273" s="117">
        <v>0</v>
      </c>
      <c r="H273" s="117">
        <v>0</v>
      </c>
      <c r="I273" s="117">
        <v>0</v>
      </c>
      <c r="J273" s="137">
        <v>0</v>
      </c>
      <c r="K273" s="117">
        <v>0</v>
      </c>
      <c r="L273" s="117">
        <v>0</v>
      </c>
      <c r="M273" s="117">
        <v>0</v>
      </c>
      <c r="N273" s="117">
        <v>0</v>
      </c>
      <c r="P273" t="s">
        <v>83</v>
      </c>
      <c r="Q273" s="100" t="s">
        <v>84</v>
      </c>
      <c r="R273" s="73">
        <f t="shared" si="79"/>
        <v>0</v>
      </c>
      <c r="S273" s="73">
        <f t="shared" si="80"/>
        <v>0</v>
      </c>
      <c r="T273" s="73">
        <f t="shared" si="81"/>
        <v>0</v>
      </c>
      <c r="U273" s="73">
        <f t="shared" si="82"/>
        <v>0</v>
      </c>
      <c r="V273" s="73">
        <f t="shared" si="83"/>
        <v>0</v>
      </c>
      <c r="X273" s="62"/>
    </row>
    <row r="274" spans="1:24">
      <c r="A274" s="103" t="s">
        <v>85</v>
      </c>
      <c r="C274" s="115">
        <f t="shared" ref="C274:N274" si="84">SUM(C262:C273)</f>
        <v>1562061.79</v>
      </c>
      <c r="D274" s="115">
        <f t="shared" si="84"/>
        <v>1383642.2200000002</v>
      </c>
      <c r="E274" s="115">
        <f t="shared" si="84"/>
        <v>1242992.3499999999</v>
      </c>
      <c r="F274" s="115">
        <f t="shared" si="84"/>
        <v>1047228.25</v>
      </c>
      <c r="G274" s="115">
        <f t="shared" si="84"/>
        <v>1060638.42</v>
      </c>
      <c r="H274" s="115">
        <f>SUM(H262:H273)</f>
        <v>1150486.8599999999</v>
      </c>
      <c r="I274" s="115">
        <f t="shared" si="84"/>
        <v>1156521.6900000002</v>
      </c>
      <c r="J274" s="81">
        <f t="shared" si="84"/>
        <v>1323654.3799999999</v>
      </c>
      <c r="K274" s="115">
        <f t="shared" si="84"/>
        <v>1225178.4000000001</v>
      </c>
      <c r="L274" s="115">
        <f>SUM(L262:L273)</f>
        <v>1241728.26</v>
      </c>
      <c r="M274" s="115">
        <f t="shared" si="84"/>
        <v>1024527.0999999996</v>
      </c>
      <c r="N274" s="115">
        <f t="shared" si="84"/>
        <v>1235109.76</v>
      </c>
      <c r="P274" s="106" t="s">
        <v>85</v>
      </c>
      <c r="R274" s="70">
        <f t="shared" si="79"/>
        <v>4188696.3600000003</v>
      </c>
      <c r="S274" s="70">
        <f t="shared" si="80"/>
        <v>3258353.53</v>
      </c>
      <c r="T274" s="70">
        <f t="shared" si="81"/>
        <v>3705354.4700000007</v>
      </c>
      <c r="U274" s="70">
        <f t="shared" si="82"/>
        <v>3501365.1199999992</v>
      </c>
      <c r="V274" s="70">
        <f t="shared" si="83"/>
        <v>14653769.48</v>
      </c>
      <c r="X274" s="62"/>
    </row>
    <row r="275" spans="1:24" ht="15.75" thickBot="1">
      <c r="A275" s="103" t="s">
        <v>86</v>
      </c>
      <c r="C275" s="118">
        <f t="shared" ref="C275:N275" si="85">SUM(C262:C266)+SUM(C271:C273)</f>
        <v>1562061.79</v>
      </c>
      <c r="D275" s="118">
        <f t="shared" si="85"/>
        <v>1383642.2200000002</v>
      </c>
      <c r="E275" s="118">
        <f t="shared" si="85"/>
        <v>1242992.3499999999</v>
      </c>
      <c r="F275" s="118">
        <f t="shared" si="85"/>
        <v>1047228.25</v>
      </c>
      <c r="G275" s="118">
        <f t="shared" si="85"/>
        <v>1060638.42</v>
      </c>
      <c r="H275" s="118">
        <f>SUM(H262:H266)+SUM(H271:H273)</f>
        <v>1150486.8600000001</v>
      </c>
      <c r="I275" s="118">
        <f t="shared" si="85"/>
        <v>1156521.6900000002</v>
      </c>
      <c r="J275" s="74">
        <f t="shared" si="85"/>
        <v>1323654.3799999999</v>
      </c>
      <c r="K275" s="118">
        <f>SUM(K262:K266)+SUM(K271:K273)</f>
        <v>1225178.4000000001</v>
      </c>
      <c r="L275" s="118">
        <f>SUM(L262:L266)+SUM(L271:L273)</f>
        <v>1241728.26</v>
      </c>
      <c r="M275" s="118">
        <f t="shared" si="85"/>
        <v>1024527.0999999996</v>
      </c>
      <c r="N275" s="118">
        <f t="shared" si="85"/>
        <v>1235109.76</v>
      </c>
      <c r="P275" s="106" t="s">
        <v>86</v>
      </c>
      <c r="R275" s="75">
        <f t="shared" si="79"/>
        <v>4188696.3600000003</v>
      </c>
      <c r="S275" s="75">
        <f t="shared" si="80"/>
        <v>3258353.5300000003</v>
      </c>
      <c r="T275" s="75">
        <f t="shared" si="81"/>
        <v>3705354.4700000007</v>
      </c>
      <c r="U275" s="75">
        <f t="shared" si="82"/>
        <v>3501365.1199999992</v>
      </c>
      <c r="V275" s="75">
        <f t="shared" si="83"/>
        <v>14653769.48</v>
      </c>
      <c r="X275" s="62"/>
    </row>
    <row r="276" spans="1:24" ht="15.75" thickTop="1">
      <c r="A276" s="106"/>
      <c r="C276" s="115"/>
      <c r="D276" s="138"/>
      <c r="E276" s="115"/>
      <c r="F276" s="115"/>
      <c r="G276" s="115"/>
      <c r="H276" s="115"/>
      <c r="I276" s="115"/>
      <c r="J276" s="81"/>
      <c r="K276" s="115"/>
      <c r="L276" s="115"/>
      <c r="M276" s="115"/>
      <c r="N276" s="115"/>
      <c r="P276" s="106"/>
      <c r="R276" s="70"/>
      <c r="S276" s="70"/>
      <c r="T276" s="70"/>
      <c r="U276" s="70"/>
      <c r="V276" s="70"/>
      <c r="X276" s="62"/>
    </row>
    <row r="277" spans="1:24">
      <c r="A277" t="s">
        <v>89</v>
      </c>
      <c r="B277" t="s">
        <v>90</v>
      </c>
      <c r="C277" s="115">
        <v>98449</v>
      </c>
      <c r="D277" s="115">
        <v>-27303</v>
      </c>
      <c r="E277" s="115">
        <v>-54480</v>
      </c>
      <c r="F277" s="115">
        <v>-73411</v>
      </c>
      <c r="G277" s="115">
        <v>6864</v>
      </c>
      <c r="H277" s="115">
        <v>45563</v>
      </c>
      <c r="I277" s="115">
        <v>37982</v>
      </c>
      <c r="J277" s="81">
        <v>27033</v>
      </c>
      <c r="K277" s="115">
        <v>-35801</v>
      </c>
      <c r="L277" s="115">
        <v>-34337</v>
      </c>
      <c r="M277" s="115">
        <v>-6552</v>
      </c>
      <c r="N277" s="115">
        <v>32810</v>
      </c>
      <c r="P277" t="s">
        <v>96</v>
      </c>
      <c r="Q277" t="s">
        <v>90</v>
      </c>
      <c r="R277" s="70">
        <f t="shared" si="79"/>
        <v>16666</v>
      </c>
      <c r="S277" s="70">
        <f t="shared" si="80"/>
        <v>-20984</v>
      </c>
      <c r="T277" s="70">
        <f t="shared" si="81"/>
        <v>29214</v>
      </c>
      <c r="U277" s="70">
        <f t="shared" si="82"/>
        <v>-8079</v>
      </c>
      <c r="V277" s="70">
        <f t="shared" si="83"/>
        <v>16817</v>
      </c>
      <c r="X277" s="62"/>
    </row>
    <row r="278" spans="1:24">
      <c r="A278" s="106"/>
      <c r="B278" t="s">
        <v>92</v>
      </c>
      <c r="C278" s="115">
        <v>52595</v>
      </c>
      <c r="D278" s="115">
        <v>-26906</v>
      </c>
      <c r="E278" s="115">
        <v>-33563</v>
      </c>
      <c r="F278" s="115">
        <v>-22098</v>
      </c>
      <c r="G278" s="115">
        <v>32976</v>
      </c>
      <c r="H278" s="115">
        <v>21588</v>
      </c>
      <c r="I278" s="115">
        <v>1927</v>
      </c>
      <c r="J278" s="81">
        <v>20059</v>
      </c>
      <c r="K278" s="115">
        <v>-19348</v>
      </c>
      <c r="L278" s="115">
        <v>-10566</v>
      </c>
      <c r="M278" s="115">
        <v>3072</v>
      </c>
      <c r="N278" s="115">
        <v>-5821</v>
      </c>
      <c r="P278" s="106" t="s">
        <v>97</v>
      </c>
      <c r="Q278" t="s">
        <v>92</v>
      </c>
      <c r="R278" s="70">
        <f t="shared" si="79"/>
        <v>-7874</v>
      </c>
      <c r="S278" s="70">
        <f t="shared" si="80"/>
        <v>32466</v>
      </c>
      <c r="T278" s="70">
        <f t="shared" si="81"/>
        <v>2638</v>
      </c>
      <c r="U278" s="70">
        <f t="shared" si="82"/>
        <v>-13315</v>
      </c>
      <c r="V278" s="70">
        <f t="shared" si="83"/>
        <v>13915</v>
      </c>
      <c r="X278" s="62"/>
    </row>
    <row r="279" spans="1:24">
      <c r="B279" t="s">
        <v>94</v>
      </c>
      <c r="C279" s="115">
        <v>16368</v>
      </c>
      <c r="D279" s="115">
        <v>-7273</v>
      </c>
      <c r="E279" s="115">
        <v>-12653</v>
      </c>
      <c r="F279" s="115">
        <v>-1265</v>
      </c>
      <c r="G279" s="115">
        <v>12931</v>
      </c>
      <c r="H279" s="115">
        <v>2728</v>
      </c>
      <c r="I279" s="115">
        <v>-3518</v>
      </c>
      <c r="J279" s="81">
        <v>-612</v>
      </c>
      <c r="K279" s="115">
        <v>-2978</v>
      </c>
      <c r="L279" s="115">
        <v>4609</v>
      </c>
      <c r="M279" s="115">
        <v>2450</v>
      </c>
      <c r="N279" s="115">
        <v>-261</v>
      </c>
      <c r="Q279" t="s">
        <v>94</v>
      </c>
      <c r="R279" s="70">
        <f t="shared" si="79"/>
        <v>-3558</v>
      </c>
      <c r="S279" s="70">
        <f t="shared" si="80"/>
        <v>14394</v>
      </c>
      <c r="T279" s="70">
        <f t="shared" si="81"/>
        <v>-7108</v>
      </c>
      <c r="U279" s="70">
        <f t="shared" si="82"/>
        <v>6798</v>
      </c>
      <c r="V279" s="70">
        <f t="shared" si="83"/>
        <v>10526</v>
      </c>
      <c r="X279" s="62"/>
    </row>
    <row r="280" spans="1:24">
      <c r="A280" t="s">
        <v>98</v>
      </c>
      <c r="C280" s="123">
        <v>5412.22</v>
      </c>
      <c r="D280" s="123">
        <v>4342.91</v>
      </c>
      <c r="E280" s="123">
        <v>4497.8999999999996</v>
      </c>
      <c r="F280" s="123">
        <v>6062.31</v>
      </c>
      <c r="G280" s="123">
        <v>5249.9</v>
      </c>
      <c r="H280" s="123">
        <v>2329.84</v>
      </c>
      <c r="I280" s="123">
        <v>3693.49</v>
      </c>
      <c r="J280" s="91">
        <v>4034.31</v>
      </c>
      <c r="K280" s="123">
        <v>3403.52</v>
      </c>
      <c r="L280" s="123">
        <v>6160.99</v>
      </c>
      <c r="M280" s="123">
        <v>3727.49</v>
      </c>
      <c r="N280" s="123">
        <v>0</v>
      </c>
      <c r="P280" t="s">
        <v>98</v>
      </c>
      <c r="R280" s="70">
        <f>SUM(C280:E280)</f>
        <v>14253.03</v>
      </c>
      <c r="S280" s="70">
        <f>SUM(F280:H280)</f>
        <v>13642.05</v>
      </c>
      <c r="T280" s="70">
        <f>SUM(I280:K280)</f>
        <v>11131.32</v>
      </c>
      <c r="U280" s="70">
        <f>SUM(L280:N280)</f>
        <v>9888.48</v>
      </c>
      <c r="V280" s="70">
        <f>SUM(C280:N280)</f>
        <v>48914.87999999999</v>
      </c>
      <c r="X280" s="62"/>
    </row>
    <row r="281" spans="1:24">
      <c r="C281" s="116"/>
      <c r="D281" s="116"/>
      <c r="E281" s="116"/>
      <c r="F281" s="116"/>
      <c r="G281" s="116"/>
      <c r="H281" s="116"/>
      <c r="I281" s="116"/>
      <c r="J281" s="71"/>
      <c r="K281" s="116"/>
      <c r="L281" s="116"/>
      <c r="M281" s="116"/>
      <c r="N281" s="116"/>
      <c r="R281" s="70"/>
      <c r="S281" s="70"/>
      <c r="T281" s="70"/>
      <c r="U281" s="70"/>
      <c r="V281" s="70"/>
    </row>
    <row r="282" spans="1:24">
      <c r="C282" s="116"/>
      <c r="D282" s="116"/>
      <c r="E282" s="116"/>
      <c r="F282" s="116"/>
      <c r="G282" s="116"/>
      <c r="H282" s="116"/>
      <c r="I282" s="116"/>
      <c r="J282" s="60"/>
      <c r="K282" s="116"/>
      <c r="L282" s="116"/>
      <c r="M282" s="116"/>
      <c r="N282" s="116"/>
      <c r="R282" s="70"/>
      <c r="S282" s="70"/>
      <c r="T282" s="70"/>
      <c r="U282" s="70"/>
      <c r="V282" s="70"/>
    </row>
    <row r="283" spans="1:24">
      <c r="C283" s="116"/>
      <c r="D283" s="116"/>
      <c r="E283" s="116"/>
      <c r="F283" s="116"/>
      <c r="G283" s="116"/>
      <c r="H283" s="116"/>
      <c r="I283" s="116"/>
      <c r="J283" s="60"/>
      <c r="K283" s="116"/>
      <c r="L283" s="116"/>
      <c r="M283" s="116"/>
      <c r="N283" s="116"/>
      <c r="R283" s="70"/>
      <c r="S283" s="70"/>
      <c r="T283" s="70"/>
      <c r="U283" s="70"/>
      <c r="V283" s="70"/>
    </row>
    <row r="284" spans="1:24">
      <c r="C284" s="116"/>
      <c r="D284" s="116"/>
      <c r="E284" s="116"/>
      <c r="F284" s="116"/>
      <c r="G284" s="116"/>
      <c r="H284" s="116"/>
      <c r="I284" s="116"/>
      <c r="J284" s="60"/>
      <c r="K284" s="116"/>
      <c r="L284" s="116"/>
      <c r="M284" s="116"/>
      <c r="N284" s="116"/>
      <c r="R284" s="70"/>
      <c r="S284" s="70"/>
      <c r="T284" s="70"/>
      <c r="U284" s="70"/>
      <c r="V284" s="70"/>
    </row>
    <row r="285" spans="1:24">
      <c r="A285" s="98" t="s">
        <v>244</v>
      </c>
      <c r="P285" s="98" t="s">
        <v>244</v>
      </c>
    </row>
    <row r="286" spans="1:24">
      <c r="A286" s="98"/>
      <c r="P286" s="98"/>
    </row>
    <row r="287" spans="1:24">
      <c r="A287" s="98"/>
      <c r="P287" s="98"/>
    </row>
    <row r="289" spans="1:24">
      <c r="A289" s="98" t="s">
        <v>108</v>
      </c>
      <c r="P289" s="98" t="s">
        <v>108</v>
      </c>
      <c r="R289" s="100" t="s">
        <v>43</v>
      </c>
      <c r="S289" s="100" t="s">
        <v>44</v>
      </c>
      <c r="T289" s="100" t="s">
        <v>45</v>
      </c>
      <c r="U289" s="101" t="s">
        <v>46</v>
      </c>
      <c r="V289" s="101"/>
    </row>
    <row r="290" spans="1:24">
      <c r="A290" s="98" t="s">
        <v>47</v>
      </c>
      <c r="C290" s="102" t="s">
        <v>48</v>
      </c>
      <c r="D290" s="102" t="s">
        <v>49</v>
      </c>
      <c r="E290" s="102" t="s">
        <v>50</v>
      </c>
      <c r="F290" s="102" t="s">
        <v>51</v>
      </c>
      <c r="G290" s="102" t="s">
        <v>52</v>
      </c>
      <c r="H290" s="102" t="s">
        <v>53</v>
      </c>
      <c r="I290" s="102" t="s">
        <v>54</v>
      </c>
      <c r="J290" s="58" t="s">
        <v>55</v>
      </c>
      <c r="K290" s="102" t="s">
        <v>56</v>
      </c>
      <c r="L290" s="102" t="s">
        <v>57</v>
      </c>
      <c r="M290" s="102" t="s">
        <v>58</v>
      </c>
      <c r="N290" s="102" t="s">
        <v>59</v>
      </c>
      <c r="P290" s="98" t="s">
        <v>47</v>
      </c>
      <c r="R290" s="102" t="s">
        <v>60</v>
      </c>
      <c r="S290" s="102" t="s">
        <v>60</v>
      </c>
      <c r="T290" s="102" t="s">
        <v>60</v>
      </c>
      <c r="U290" s="102" t="s">
        <v>60</v>
      </c>
      <c r="V290" s="102" t="s">
        <v>61</v>
      </c>
    </row>
    <row r="292" spans="1:24">
      <c r="A292" t="s">
        <v>62</v>
      </c>
      <c r="B292" s="100" t="s">
        <v>63</v>
      </c>
      <c r="C292" s="104">
        <f t="shared" ref="C292:N305" si="86">C10+C80+C150+C220</f>
        <v>146814</v>
      </c>
      <c r="D292" s="104">
        <f t="shared" si="86"/>
        <v>146892</v>
      </c>
      <c r="E292" s="104">
        <f t="shared" si="86"/>
        <v>146929</v>
      </c>
      <c r="F292" s="104">
        <f t="shared" si="86"/>
        <v>146750</v>
      </c>
      <c r="G292" s="104">
        <f t="shared" si="86"/>
        <v>146719</v>
      </c>
      <c r="H292" s="104">
        <f t="shared" si="86"/>
        <v>146870</v>
      </c>
      <c r="I292" s="104">
        <f t="shared" si="86"/>
        <v>146873</v>
      </c>
      <c r="J292" s="57">
        <f t="shared" si="86"/>
        <v>147134</v>
      </c>
      <c r="K292" s="104">
        <f t="shared" si="86"/>
        <v>147169</v>
      </c>
      <c r="L292" s="104">
        <f t="shared" si="86"/>
        <v>147338</v>
      </c>
      <c r="M292" s="104">
        <f t="shared" si="86"/>
        <v>147838</v>
      </c>
      <c r="N292" s="104">
        <f t="shared" si="86"/>
        <v>148031</v>
      </c>
      <c r="P292" t="s">
        <v>62</v>
      </c>
      <c r="Q292" s="100" t="s">
        <v>63</v>
      </c>
      <c r="R292" s="61">
        <f>SUM(C292:E292)/3</f>
        <v>146878.33333333334</v>
      </c>
      <c r="S292" s="61">
        <f>SUM(F292:H292)/3</f>
        <v>146779.66666666666</v>
      </c>
      <c r="T292" s="61">
        <f>SUM(I292:K292)/3</f>
        <v>147058.66666666666</v>
      </c>
      <c r="U292" s="61">
        <f>SUM(L292:N292)/3</f>
        <v>147735.66666666666</v>
      </c>
      <c r="V292" s="61">
        <f t="shared" ref="V292:V303" si="87">V220+V150+V80+V10</f>
        <v>147113.08333333334</v>
      </c>
      <c r="X292" s="62"/>
    </row>
    <row r="293" spans="1:24">
      <c r="A293" t="s">
        <v>64</v>
      </c>
      <c r="B293" s="100" t="s">
        <v>65</v>
      </c>
      <c r="C293" s="104">
        <f t="shared" si="86"/>
        <v>24820</v>
      </c>
      <c r="D293" s="104">
        <f t="shared" si="86"/>
        <v>24814</v>
      </c>
      <c r="E293" s="104">
        <f t="shared" si="86"/>
        <v>24825</v>
      </c>
      <c r="F293" s="104">
        <f t="shared" si="86"/>
        <v>24860</v>
      </c>
      <c r="G293" s="104">
        <f t="shared" si="86"/>
        <v>24883</v>
      </c>
      <c r="H293" s="104">
        <f t="shared" si="86"/>
        <v>24959</v>
      </c>
      <c r="I293" s="104">
        <f t="shared" si="86"/>
        <v>24887</v>
      </c>
      <c r="J293" s="57">
        <f t="shared" si="86"/>
        <v>24914</v>
      </c>
      <c r="K293" s="104">
        <f t="shared" si="86"/>
        <v>24931</v>
      </c>
      <c r="L293" s="104">
        <f t="shared" si="86"/>
        <v>24947</v>
      </c>
      <c r="M293" s="104">
        <f t="shared" si="86"/>
        <v>24964</v>
      </c>
      <c r="N293" s="104">
        <f t="shared" si="86"/>
        <v>24966</v>
      </c>
      <c r="P293" t="s">
        <v>64</v>
      </c>
      <c r="Q293" s="100" t="s">
        <v>65</v>
      </c>
      <c r="R293" s="61">
        <f>SUM(C293:E293)/3</f>
        <v>24819.666666666668</v>
      </c>
      <c r="S293" s="61">
        <f>SUM(F293:H293)/3</f>
        <v>24900.666666666668</v>
      </c>
      <c r="T293" s="61">
        <f>SUM(I293:K293)/3</f>
        <v>24910.666666666668</v>
      </c>
      <c r="U293" s="61">
        <f>SUM(L293:N293)/3</f>
        <v>24959</v>
      </c>
      <c r="V293" s="61">
        <f t="shared" si="87"/>
        <v>24897.5</v>
      </c>
      <c r="X293" s="62"/>
    </row>
    <row r="294" spans="1:24">
      <c r="A294" t="s">
        <v>66</v>
      </c>
      <c r="B294" s="100" t="s">
        <v>67</v>
      </c>
      <c r="C294" s="104">
        <f t="shared" si="86"/>
        <v>340</v>
      </c>
      <c r="D294" s="104">
        <f t="shared" si="86"/>
        <v>339</v>
      </c>
      <c r="E294" s="104">
        <f t="shared" si="86"/>
        <v>340</v>
      </c>
      <c r="F294" s="104">
        <f t="shared" si="86"/>
        <v>338</v>
      </c>
      <c r="G294" s="104">
        <f t="shared" si="86"/>
        <v>338</v>
      </c>
      <c r="H294" s="104">
        <f t="shared" si="86"/>
        <v>338</v>
      </c>
      <c r="I294" s="104">
        <f t="shared" si="86"/>
        <v>336</v>
      </c>
      <c r="J294" s="57">
        <f t="shared" si="86"/>
        <v>336</v>
      </c>
      <c r="K294" s="104">
        <f t="shared" si="86"/>
        <v>335</v>
      </c>
      <c r="L294" s="104">
        <f t="shared" si="86"/>
        <v>335</v>
      </c>
      <c r="M294" s="104">
        <f t="shared" si="86"/>
        <v>336</v>
      </c>
      <c r="N294" s="104">
        <f t="shared" si="86"/>
        <v>336</v>
      </c>
      <c r="P294" t="s">
        <v>66</v>
      </c>
      <c r="Q294" s="100" t="s">
        <v>67</v>
      </c>
      <c r="R294" s="61">
        <f>SUM(C294:E294)/3</f>
        <v>339.66666666666669</v>
      </c>
      <c r="S294" s="61">
        <f>SUM(F294:H294)/3</f>
        <v>338</v>
      </c>
      <c r="T294" s="61">
        <f>SUM(I294:K294)/3</f>
        <v>335.66666666666669</v>
      </c>
      <c r="U294" s="61">
        <f>SUM(L294:N294)/3</f>
        <v>335.66666666666669</v>
      </c>
      <c r="V294" s="61">
        <f t="shared" si="87"/>
        <v>337.25</v>
      </c>
      <c r="X294" s="62"/>
    </row>
    <row r="295" spans="1:24">
      <c r="A295" t="s">
        <v>68</v>
      </c>
      <c r="B295" s="100" t="s">
        <v>69</v>
      </c>
      <c r="C295" s="104">
        <f t="shared" si="86"/>
        <v>12</v>
      </c>
      <c r="D295" s="104">
        <f t="shared" si="86"/>
        <v>12</v>
      </c>
      <c r="E295" s="104">
        <f t="shared" si="86"/>
        <v>12</v>
      </c>
      <c r="F295" s="104">
        <f t="shared" si="86"/>
        <v>12</v>
      </c>
      <c r="G295" s="104">
        <f t="shared" si="86"/>
        <v>12</v>
      </c>
      <c r="H295" s="104">
        <f t="shared" si="86"/>
        <v>12</v>
      </c>
      <c r="I295" s="104">
        <f t="shared" si="86"/>
        <v>12</v>
      </c>
      <c r="J295" s="57">
        <f t="shared" si="86"/>
        <v>12</v>
      </c>
      <c r="K295" s="104">
        <f t="shared" si="86"/>
        <v>12</v>
      </c>
      <c r="L295" s="104">
        <f t="shared" si="86"/>
        <v>12</v>
      </c>
      <c r="M295" s="104">
        <f t="shared" si="86"/>
        <v>11</v>
      </c>
      <c r="N295" s="104">
        <f t="shared" si="86"/>
        <v>11</v>
      </c>
      <c r="P295" t="s">
        <v>68</v>
      </c>
      <c r="Q295" s="100" t="s">
        <v>69</v>
      </c>
      <c r="R295" s="61">
        <f t="shared" ref="R295:R305" si="88">SUM(C295:E295)/3</f>
        <v>12</v>
      </c>
      <c r="S295" s="61">
        <f t="shared" ref="S295:S305" si="89">SUM(F295:H295)/3</f>
        <v>12</v>
      </c>
      <c r="T295" s="61">
        <f t="shared" ref="T295:T305" si="90">SUM(I295:K295)/3</f>
        <v>12</v>
      </c>
      <c r="U295" s="61">
        <f t="shared" ref="U295:U305" si="91">SUM(L295:N295)/3</f>
        <v>11.333333333333334</v>
      </c>
      <c r="V295" s="61">
        <f t="shared" si="87"/>
        <v>11.833333333333334</v>
      </c>
      <c r="X295" s="62"/>
    </row>
    <row r="296" spans="1:24">
      <c r="A296" t="s">
        <v>70</v>
      </c>
      <c r="B296" s="100" t="s">
        <v>71</v>
      </c>
      <c r="C296" s="104">
        <f t="shared" si="86"/>
        <v>1</v>
      </c>
      <c r="D296" s="104">
        <f t="shared" si="86"/>
        <v>1</v>
      </c>
      <c r="E296" s="104">
        <f t="shared" si="86"/>
        <v>1</v>
      </c>
      <c r="F296" s="104">
        <f t="shared" si="86"/>
        <v>1</v>
      </c>
      <c r="G296" s="104">
        <f t="shared" si="86"/>
        <v>1</v>
      </c>
      <c r="H296" s="104">
        <f t="shared" si="86"/>
        <v>1</v>
      </c>
      <c r="I296" s="104">
        <f t="shared" si="86"/>
        <v>1</v>
      </c>
      <c r="J296" s="57">
        <f t="shared" si="86"/>
        <v>1</v>
      </c>
      <c r="K296" s="104">
        <f t="shared" si="86"/>
        <v>1</v>
      </c>
      <c r="L296" s="104">
        <f t="shared" si="86"/>
        <v>1</v>
      </c>
      <c r="M296" s="104">
        <f t="shared" si="86"/>
        <v>1</v>
      </c>
      <c r="N296" s="104">
        <f t="shared" si="86"/>
        <v>1</v>
      </c>
      <c r="P296" t="s">
        <v>70</v>
      </c>
      <c r="Q296" s="100" t="s">
        <v>71</v>
      </c>
      <c r="R296" s="61">
        <f>SUM(C296:E296)/3</f>
        <v>1</v>
      </c>
      <c r="S296" s="61">
        <f>SUM(F296:H296)/3</f>
        <v>1</v>
      </c>
      <c r="T296" s="61">
        <f>SUM(I296:K296)/3</f>
        <v>1</v>
      </c>
      <c r="U296" s="61">
        <f>SUM(L296:N296)/3</f>
        <v>1</v>
      </c>
      <c r="V296" s="61">
        <f t="shared" si="87"/>
        <v>1</v>
      </c>
      <c r="X296" s="62"/>
    </row>
    <row r="297" spans="1:24">
      <c r="A297" s="111" t="s">
        <v>88</v>
      </c>
      <c r="B297" s="100"/>
      <c r="C297" s="104">
        <f t="shared" si="86"/>
        <v>0</v>
      </c>
      <c r="D297" s="104">
        <f t="shared" si="86"/>
        <v>0</v>
      </c>
      <c r="E297" s="104">
        <f t="shared" si="86"/>
        <v>0</v>
      </c>
      <c r="F297" s="104">
        <f t="shared" si="86"/>
        <v>0</v>
      </c>
      <c r="G297" s="104">
        <f t="shared" si="86"/>
        <v>0</v>
      </c>
      <c r="H297" s="104">
        <f t="shared" si="86"/>
        <v>0</v>
      </c>
      <c r="I297" s="104">
        <f t="shared" si="86"/>
        <v>0</v>
      </c>
      <c r="J297" s="57">
        <f t="shared" si="86"/>
        <v>0</v>
      </c>
      <c r="K297" s="104">
        <f t="shared" si="86"/>
        <v>0</v>
      </c>
      <c r="L297" s="104">
        <f t="shared" si="86"/>
        <v>0</v>
      </c>
      <c r="M297" s="104">
        <f t="shared" si="86"/>
        <v>0</v>
      </c>
      <c r="N297" s="104">
        <f t="shared" si="86"/>
        <v>0</v>
      </c>
      <c r="P297" t="s">
        <v>72</v>
      </c>
      <c r="Q297" s="100"/>
      <c r="R297" s="61">
        <f>SUM(C297:E297)/3</f>
        <v>0</v>
      </c>
      <c r="S297" s="61">
        <f>SUM(F297:H297)/3</f>
        <v>0</v>
      </c>
      <c r="T297" s="61">
        <f>SUM(I297:K297)/3</f>
        <v>0</v>
      </c>
      <c r="U297" s="61">
        <f>SUM(L297:N297)/3</f>
        <v>0</v>
      </c>
      <c r="V297" s="61">
        <f t="shared" si="87"/>
        <v>0</v>
      </c>
      <c r="X297" s="62"/>
    </row>
    <row r="298" spans="1:24">
      <c r="A298" t="s">
        <v>73</v>
      </c>
      <c r="B298" s="100" t="s">
        <v>74</v>
      </c>
      <c r="C298" s="104">
        <f t="shared" si="86"/>
        <v>0</v>
      </c>
      <c r="D298" s="104">
        <f t="shared" si="86"/>
        <v>0</v>
      </c>
      <c r="E298" s="104">
        <f t="shared" si="86"/>
        <v>0</v>
      </c>
      <c r="F298" s="104">
        <f t="shared" si="86"/>
        <v>0</v>
      </c>
      <c r="G298" s="104">
        <f t="shared" si="86"/>
        <v>0</v>
      </c>
      <c r="H298" s="104">
        <f t="shared" si="86"/>
        <v>0</v>
      </c>
      <c r="I298" s="104">
        <f t="shared" si="86"/>
        <v>0</v>
      </c>
      <c r="J298" s="57">
        <f t="shared" si="86"/>
        <v>0</v>
      </c>
      <c r="K298" s="104">
        <f t="shared" si="86"/>
        <v>0</v>
      </c>
      <c r="L298" s="104">
        <f t="shared" si="86"/>
        <v>0</v>
      </c>
      <c r="M298" s="104">
        <f t="shared" si="86"/>
        <v>0</v>
      </c>
      <c r="N298" s="104">
        <f t="shared" si="86"/>
        <v>0</v>
      </c>
      <c r="P298" t="s">
        <v>73</v>
      </c>
      <c r="Q298" s="100" t="s">
        <v>74</v>
      </c>
      <c r="R298" s="61">
        <f t="shared" si="88"/>
        <v>0</v>
      </c>
      <c r="S298" s="61">
        <f t="shared" si="89"/>
        <v>0</v>
      </c>
      <c r="T298" s="61">
        <f t="shared" si="90"/>
        <v>0</v>
      </c>
      <c r="U298" s="61">
        <f t="shared" si="91"/>
        <v>0</v>
      </c>
      <c r="V298" s="61">
        <f t="shared" si="87"/>
        <v>0</v>
      </c>
      <c r="X298" s="62"/>
    </row>
    <row r="299" spans="1:24">
      <c r="A299" t="s">
        <v>75</v>
      </c>
      <c r="B299" s="100" t="s">
        <v>76</v>
      </c>
      <c r="C299" s="104">
        <f t="shared" si="86"/>
        <v>0</v>
      </c>
      <c r="D299" s="104">
        <f t="shared" si="86"/>
        <v>0</v>
      </c>
      <c r="E299" s="104">
        <f t="shared" si="86"/>
        <v>0</v>
      </c>
      <c r="F299" s="104">
        <f t="shared" si="86"/>
        <v>0</v>
      </c>
      <c r="G299" s="104">
        <f t="shared" si="86"/>
        <v>0</v>
      </c>
      <c r="H299" s="104">
        <f t="shared" si="86"/>
        <v>0</v>
      </c>
      <c r="I299" s="104">
        <f t="shared" si="86"/>
        <v>0</v>
      </c>
      <c r="J299" s="57">
        <f t="shared" si="86"/>
        <v>0</v>
      </c>
      <c r="K299" s="104">
        <f t="shared" si="86"/>
        <v>0</v>
      </c>
      <c r="L299" s="104">
        <f t="shared" si="86"/>
        <v>0</v>
      </c>
      <c r="M299" s="104">
        <f t="shared" si="86"/>
        <v>0</v>
      </c>
      <c r="N299" s="104">
        <f t="shared" si="86"/>
        <v>0</v>
      </c>
      <c r="P299" t="s">
        <v>75</v>
      </c>
      <c r="Q299" s="100" t="s">
        <v>76</v>
      </c>
      <c r="R299" s="61">
        <f t="shared" si="88"/>
        <v>0</v>
      </c>
      <c r="S299" s="61">
        <f t="shared" si="89"/>
        <v>0</v>
      </c>
      <c r="T299" s="61">
        <f t="shared" si="90"/>
        <v>0</v>
      </c>
      <c r="U299" s="61">
        <f t="shared" si="91"/>
        <v>0</v>
      </c>
      <c r="V299" s="61">
        <f t="shared" si="87"/>
        <v>0</v>
      </c>
      <c r="X299" s="62"/>
    </row>
    <row r="300" spans="1:24">
      <c r="A300" t="s">
        <v>77</v>
      </c>
      <c r="B300" s="100" t="s">
        <v>78</v>
      </c>
      <c r="C300" s="104">
        <f t="shared" si="86"/>
        <v>4</v>
      </c>
      <c r="D300" s="104">
        <f t="shared" si="86"/>
        <v>4</v>
      </c>
      <c r="E300" s="104">
        <f t="shared" si="86"/>
        <v>4</v>
      </c>
      <c r="F300" s="104">
        <f t="shared" si="86"/>
        <v>4</v>
      </c>
      <c r="G300" s="104">
        <f t="shared" si="86"/>
        <v>4</v>
      </c>
      <c r="H300" s="104">
        <f t="shared" si="86"/>
        <v>4</v>
      </c>
      <c r="I300" s="104">
        <f t="shared" si="86"/>
        <v>4</v>
      </c>
      <c r="J300" s="57">
        <f t="shared" si="86"/>
        <v>4</v>
      </c>
      <c r="K300" s="104">
        <f t="shared" si="86"/>
        <v>4</v>
      </c>
      <c r="L300" s="104">
        <f t="shared" si="86"/>
        <v>4</v>
      </c>
      <c r="M300" s="104">
        <f t="shared" si="86"/>
        <v>4</v>
      </c>
      <c r="N300" s="104">
        <f t="shared" si="86"/>
        <v>4</v>
      </c>
      <c r="P300" t="s">
        <v>77</v>
      </c>
      <c r="Q300" s="100" t="s">
        <v>78</v>
      </c>
      <c r="R300" s="61">
        <f t="shared" si="88"/>
        <v>4</v>
      </c>
      <c r="S300" s="61">
        <f t="shared" si="89"/>
        <v>4</v>
      </c>
      <c r="T300" s="61">
        <f t="shared" si="90"/>
        <v>4</v>
      </c>
      <c r="U300" s="61">
        <f t="shared" si="91"/>
        <v>4</v>
      </c>
      <c r="V300" s="61">
        <f t="shared" si="87"/>
        <v>4</v>
      </c>
      <c r="X300" s="62"/>
    </row>
    <row r="301" spans="1:24">
      <c r="A301" t="s">
        <v>79</v>
      </c>
      <c r="B301" s="100" t="s">
        <v>80</v>
      </c>
      <c r="C301" s="104">
        <f t="shared" si="86"/>
        <v>527</v>
      </c>
      <c r="D301" s="104">
        <f t="shared" si="86"/>
        <v>526</v>
      </c>
      <c r="E301" s="104">
        <f t="shared" si="86"/>
        <v>528</v>
      </c>
      <c r="F301" s="104">
        <f t="shared" si="86"/>
        <v>528</v>
      </c>
      <c r="G301" s="104">
        <f t="shared" si="86"/>
        <v>521</v>
      </c>
      <c r="H301" s="104">
        <f t="shared" si="86"/>
        <v>523</v>
      </c>
      <c r="I301" s="104">
        <f t="shared" si="86"/>
        <v>523</v>
      </c>
      <c r="J301" s="57">
        <f t="shared" si="86"/>
        <v>527</v>
      </c>
      <c r="K301" s="104">
        <f t="shared" si="86"/>
        <v>530</v>
      </c>
      <c r="L301" s="104">
        <f t="shared" si="86"/>
        <v>532</v>
      </c>
      <c r="M301" s="104">
        <f t="shared" si="86"/>
        <v>528</v>
      </c>
      <c r="N301" s="104">
        <f t="shared" si="86"/>
        <v>528</v>
      </c>
      <c r="P301" t="s">
        <v>79</v>
      </c>
      <c r="Q301" s="100" t="s">
        <v>80</v>
      </c>
      <c r="R301" s="61">
        <f t="shared" si="88"/>
        <v>527</v>
      </c>
      <c r="S301" s="61">
        <f t="shared" si="89"/>
        <v>524</v>
      </c>
      <c r="T301" s="61">
        <f t="shared" si="90"/>
        <v>526.66666666666663</v>
      </c>
      <c r="U301" s="61">
        <f t="shared" si="91"/>
        <v>529.33333333333337</v>
      </c>
      <c r="V301" s="61">
        <f t="shared" si="87"/>
        <v>526.75</v>
      </c>
      <c r="X301" s="62"/>
    </row>
    <row r="302" spans="1:24">
      <c r="A302" t="s">
        <v>81</v>
      </c>
      <c r="B302" s="100" t="s">
        <v>82</v>
      </c>
      <c r="C302" s="104">
        <f t="shared" si="86"/>
        <v>1584</v>
      </c>
      <c r="D302" s="104">
        <f t="shared" si="86"/>
        <v>1589</v>
      </c>
      <c r="E302" s="104">
        <f t="shared" si="86"/>
        <v>1589</v>
      </c>
      <c r="F302" s="104">
        <f t="shared" si="86"/>
        <v>1591</v>
      </c>
      <c r="G302" s="104">
        <f t="shared" si="86"/>
        <v>1585</v>
      </c>
      <c r="H302" s="104">
        <f t="shared" si="86"/>
        <v>1587</v>
      </c>
      <c r="I302" s="104">
        <f t="shared" si="86"/>
        <v>1588</v>
      </c>
      <c r="J302" s="57">
        <f t="shared" si="86"/>
        <v>1589</v>
      </c>
      <c r="K302" s="104">
        <f t="shared" si="86"/>
        <v>1590</v>
      </c>
      <c r="L302" s="104">
        <f t="shared" si="86"/>
        <v>1592</v>
      </c>
      <c r="M302" s="104">
        <f t="shared" si="86"/>
        <v>1592</v>
      </c>
      <c r="N302" s="104">
        <f t="shared" si="86"/>
        <v>1592</v>
      </c>
      <c r="P302" t="s">
        <v>81</v>
      </c>
      <c r="Q302" s="100" t="s">
        <v>82</v>
      </c>
      <c r="R302" s="61">
        <f t="shared" si="88"/>
        <v>1587.3333333333333</v>
      </c>
      <c r="S302" s="61">
        <f t="shared" si="89"/>
        <v>1587.6666666666667</v>
      </c>
      <c r="T302" s="61">
        <f t="shared" si="90"/>
        <v>1589</v>
      </c>
      <c r="U302" s="61">
        <f t="shared" si="91"/>
        <v>1592</v>
      </c>
      <c r="V302" s="61">
        <f t="shared" si="87"/>
        <v>1589</v>
      </c>
      <c r="X302" s="62"/>
    </row>
    <row r="303" spans="1:24">
      <c r="A303" t="s">
        <v>83</v>
      </c>
      <c r="B303" s="100" t="s">
        <v>84</v>
      </c>
      <c r="C303" s="127">
        <f t="shared" si="86"/>
        <v>43</v>
      </c>
      <c r="D303" s="127">
        <f t="shared" si="86"/>
        <v>44</v>
      </c>
      <c r="E303" s="127">
        <f t="shared" si="86"/>
        <v>44</v>
      </c>
      <c r="F303" s="127">
        <f t="shared" si="86"/>
        <v>44</v>
      </c>
      <c r="G303" s="127">
        <f t="shared" si="86"/>
        <v>44</v>
      </c>
      <c r="H303" s="127">
        <f t="shared" si="86"/>
        <v>44</v>
      </c>
      <c r="I303" s="127">
        <f t="shared" si="86"/>
        <v>43</v>
      </c>
      <c r="J303" s="79">
        <f t="shared" si="86"/>
        <v>43</v>
      </c>
      <c r="K303" s="127">
        <f t="shared" si="86"/>
        <v>43</v>
      </c>
      <c r="L303" s="127">
        <f t="shared" si="86"/>
        <v>43</v>
      </c>
      <c r="M303" s="127">
        <f t="shared" si="86"/>
        <v>43</v>
      </c>
      <c r="N303" s="127">
        <f t="shared" si="86"/>
        <v>43</v>
      </c>
      <c r="P303" t="s">
        <v>83</v>
      </c>
      <c r="Q303" s="100" t="s">
        <v>84</v>
      </c>
      <c r="R303" s="65">
        <f t="shared" si="88"/>
        <v>43.666666666666664</v>
      </c>
      <c r="S303" s="65">
        <f t="shared" si="89"/>
        <v>44</v>
      </c>
      <c r="T303" s="65">
        <f t="shared" si="90"/>
        <v>43</v>
      </c>
      <c r="U303" s="65">
        <f t="shared" si="91"/>
        <v>43</v>
      </c>
      <c r="V303" s="65">
        <f t="shared" si="87"/>
        <v>43.416666666666664</v>
      </c>
      <c r="X303" s="62"/>
    </row>
    <row r="304" spans="1:24">
      <c r="A304" s="103" t="s">
        <v>85</v>
      </c>
      <c r="C304" s="104">
        <f t="shared" si="86"/>
        <v>174145</v>
      </c>
      <c r="D304" s="104">
        <f t="shared" si="86"/>
        <v>174221</v>
      </c>
      <c r="E304" s="104">
        <f t="shared" si="86"/>
        <v>174272</v>
      </c>
      <c r="F304" s="104">
        <f t="shared" si="86"/>
        <v>174128</v>
      </c>
      <c r="G304" s="104">
        <f t="shared" si="86"/>
        <v>174107</v>
      </c>
      <c r="H304" s="104">
        <f t="shared" si="86"/>
        <v>174338</v>
      </c>
      <c r="I304" s="104">
        <f t="shared" si="86"/>
        <v>174267</v>
      </c>
      <c r="J304" s="57">
        <f t="shared" si="86"/>
        <v>174560</v>
      </c>
      <c r="K304" s="104">
        <f t="shared" si="86"/>
        <v>174615</v>
      </c>
      <c r="L304" s="104">
        <f t="shared" si="86"/>
        <v>174804</v>
      </c>
      <c r="M304" s="104">
        <f t="shared" si="86"/>
        <v>175317</v>
      </c>
      <c r="N304" s="104">
        <f t="shared" si="86"/>
        <v>175512</v>
      </c>
      <c r="P304" s="106" t="s">
        <v>85</v>
      </c>
      <c r="R304" s="61">
        <f t="shared" si="88"/>
        <v>174212.66666666666</v>
      </c>
      <c r="S304" s="61">
        <f t="shared" si="89"/>
        <v>174191</v>
      </c>
      <c r="T304" s="61">
        <f t="shared" si="90"/>
        <v>174480.66666666666</v>
      </c>
      <c r="U304" s="61">
        <f t="shared" si="91"/>
        <v>175211</v>
      </c>
      <c r="V304" s="104">
        <f>SUM(V292:V303)</f>
        <v>174523.83333333334</v>
      </c>
      <c r="X304" s="62"/>
    </row>
    <row r="305" spans="1:24" ht="15.75" thickBot="1">
      <c r="A305" s="103" t="s">
        <v>86</v>
      </c>
      <c r="C305" s="107">
        <f t="shared" si="86"/>
        <v>174141</v>
      </c>
      <c r="D305" s="107">
        <f t="shared" si="86"/>
        <v>174217</v>
      </c>
      <c r="E305" s="107">
        <f t="shared" si="86"/>
        <v>174268</v>
      </c>
      <c r="F305" s="107">
        <f t="shared" si="86"/>
        <v>174124</v>
      </c>
      <c r="G305" s="107">
        <f t="shared" si="86"/>
        <v>174103</v>
      </c>
      <c r="H305" s="107">
        <f t="shared" si="86"/>
        <v>174334</v>
      </c>
      <c r="I305" s="107">
        <f t="shared" si="86"/>
        <v>174263</v>
      </c>
      <c r="J305" s="66">
        <f t="shared" si="86"/>
        <v>174556</v>
      </c>
      <c r="K305" s="107">
        <f t="shared" si="86"/>
        <v>174611</v>
      </c>
      <c r="L305" s="107">
        <f t="shared" si="86"/>
        <v>174800</v>
      </c>
      <c r="M305" s="107">
        <f t="shared" si="86"/>
        <v>175313</v>
      </c>
      <c r="N305" s="107">
        <f>N23+N93+N163+N233</f>
        <v>175508</v>
      </c>
      <c r="P305" s="106" t="s">
        <v>86</v>
      </c>
      <c r="R305" s="67">
        <f t="shared" si="88"/>
        <v>174208.66666666666</v>
      </c>
      <c r="S305" s="67">
        <f t="shared" si="89"/>
        <v>174187</v>
      </c>
      <c r="T305" s="67">
        <f t="shared" si="90"/>
        <v>174476.66666666666</v>
      </c>
      <c r="U305" s="67">
        <f t="shared" si="91"/>
        <v>175207</v>
      </c>
      <c r="V305" s="107">
        <f>SUM(V292:V296)+SUM(V301:V303)</f>
        <v>174519.83333333334</v>
      </c>
      <c r="X305" s="62"/>
    </row>
    <row r="306" spans="1:24" ht="15.75" thickTop="1">
      <c r="A306" s="106"/>
      <c r="C306" s="104"/>
      <c r="D306" s="104"/>
      <c r="E306" s="104"/>
      <c r="F306" s="104"/>
      <c r="G306" s="104"/>
      <c r="H306" s="104"/>
      <c r="I306" s="104"/>
      <c r="K306" s="104"/>
      <c r="L306" s="104"/>
      <c r="M306" s="104"/>
      <c r="N306" s="104"/>
      <c r="P306" s="106"/>
      <c r="R306" s="61"/>
      <c r="S306" s="61"/>
      <c r="T306" s="61"/>
      <c r="U306" s="61"/>
      <c r="V306" s="104"/>
      <c r="X306" s="62"/>
    </row>
    <row r="307" spans="1:24">
      <c r="A307" s="106"/>
      <c r="C307" s="104"/>
      <c r="D307" s="104"/>
      <c r="E307" s="104"/>
      <c r="F307" s="104"/>
      <c r="G307" s="104"/>
      <c r="H307" s="104"/>
      <c r="I307" s="104"/>
      <c r="K307" s="104"/>
      <c r="L307" s="104"/>
      <c r="M307" s="104"/>
      <c r="N307" s="104"/>
      <c r="P307" s="106"/>
      <c r="R307" s="61"/>
      <c r="S307" s="61"/>
      <c r="T307" s="61"/>
      <c r="U307" s="61"/>
      <c r="V307" s="104"/>
      <c r="X307" s="62"/>
    </row>
    <row r="308" spans="1:24">
      <c r="A308" s="106"/>
      <c r="C308" s="104"/>
      <c r="D308" s="104"/>
      <c r="E308" s="104"/>
      <c r="F308" s="104"/>
      <c r="G308" s="104"/>
      <c r="H308" s="104"/>
      <c r="I308" s="104"/>
      <c r="K308" s="104"/>
      <c r="L308" s="104"/>
      <c r="M308" s="104"/>
      <c r="N308" s="104"/>
      <c r="P308" s="106"/>
      <c r="R308" s="61"/>
      <c r="S308" s="61"/>
      <c r="T308" s="61"/>
      <c r="U308" s="61"/>
      <c r="V308" s="104"/>
      <c r="X308" s="62"/>
    </row>
    <row r="309" spans="1:24">
      <c r="C309" s="104"/>
      <c r="D309" s="104"/>
      <c r="E309" s="104"/>
      <c r="F309" s="104"/>
      <c r="G309" s="104"/>
      <c r="H309" s="104"/>
      <c r="I309" s="104"/>
      <c r="K309" s="104"/>
      <c r="L309" s="104"/>
      <c r="M309" s="104"/>
      <c r="N309" s="104"/>
      <c r="R309" s="61"/>
      <c r="S309" s="61"/>
      <c r="T309" s="61"/>
      <c r="U309" s="61"/>
      <c r="V309" s="61"/>
    </row>
    <row r="310" spans="1:24">
      <c r="A310" s="98" t="s">
        <v>109</v>
      </c>
      <c r="C310" s="104"/>
      <c r="D310" s="104"/>
      <c r="E310" s="104"/>
      <c r="F310" s="104"/>
      <c r="G310" s="104"/>
      <c r="H310" s="108"/>
      <c r="I310" s="108"/>
      <c r="J310" s="68"/>
      <c r="K310" s="108"/>
      <c r="L310" s="108"/>
      <c r="M310" s="108"/>
      <c r="N310" s="108"/>
      <c r="P310" s="98" t="s">
        <v>109</v>
      </c>
      <c r="R310" s="61"/>
      <c r="S310" s="61"/>
      <c r="T310" s="61"/>
      <c r="U310" s="61"/>
      <c r="V310" s="61"/>
    </row>
    <row r="311" spans="1:24">
      <c r="A311" t="s">
        <v>62</v>
      </c>
      <c r="B311" s="100" t="s">
        <v>63</v>
      </c>
      <c r="C311" s="104">
        <f t="shared" ref="C311:N324" si="92">C29+C99+C169+C239</f>
        <v>214077468</v>
      </c>
      <c r="D311" s="104">
        <f t="shared" si="92"/>
        <v>188077131</v>
      </c>
      <c r="E311" s="104">
        <f t="shared" si="92"/>
        <v>179096406</v>
      </c>
      <c r="F311" s="104">
        <f t="shared" si="92"/>
        <v>102909829</v>
      </c>
      <c r="G311" s="104">
        <f t="shared" si="92"/>
        <v>108015499</v>
      </c>
      <c r="H311" s="108">
        <f>H29+H99+H169+H239</f>
        <v>138839061</v>
      </c>
      <c r="I311" s="108">
        <f>I29+I99+I169+I239</f>
        <v>189796071</v>
      </c>
      <c r="J311" s="68">
        <f t="shared" si="92"/>
        <v>176060802</v>
      </c>
      <c r="K311" s="108">
        <f t="shared" si="92"/>
        <v>158690639</v>
      </c>
      <c r="L311" s="108">
        <f t="shared" si="92"/>
        <v>124285728</v>
      </c>
      <c r="M311" s="108">
        <f t="shared" si="92"/>
        <v>148092911</v>
      </c>
      <c r="N311" s="108">
        <f t="shared" si="92"/>
        <v>184300067</v>
      </c>
      <c r="P311" t="s">
        <v>62</v>
      </c>
      <c r="Q311" s="100" t="s">
        <v>63</v>
      </c>
      <c r="R311" s="61">
        <f>SUM(C311:E311)</f>
        <v>581251005</v>
      </c>
      <c r="S311" s="61">
        <f>SUM(F311:H311)</f>
        <v>349764389</v>
      </c>
      <c r="T311" s="61">
        <f>SUM(I311:K311)</f>
        <v>524547512</v>
      </c>
      <c r="U311" s="61">
        <f>SUM(L311:N311)</f>
        <v>456678706</v>
      </c>
      <c r="V311" s="92">
        <f>SUM(C311:N311)</f>
        <v>1912241612</v>
      </c>
      <c r="X311" s="62"/>
    </row>
    <row r="312" spans="1:24">
      <c r="A312" t="s">
        <v>64</v>
      </c>
      <c r="B312" s="100" t="s">
        <v>65</v>
      </c>
      <c r="C312" s="104">
        <f t="shared" si="92"/>
        <v>143731495.99599999</v>
      </c>
      <c r="D312" s="104">
        <f t="shared" si="92"/>
        <v>116736512</v>
      </c>
      <c r="E312" s="104">
        <f t="shared" si="92"/>
        <v>118169671</v>
      </c>
      <c r="F312" s="104">
        <f t="shared" si="92"/>
        <v>109767565</v>
      </c>
      <c r="G312" s="104">
        <f t="shared" si="92"/>
        <v>129491416</v>
      </c>
      <c r="H312" s="108">
        <f t="shared" si="92"/>
        <v>140944178</v>
      </c>
      <c r="I312" s="108">
        <f t="shared" si="92"/>
        <v>154140617</v>
      </c>
      <c r="J312" s="68">
        <f t="shared" si="92"/>
        <v>149997148</v>
      </c>
      <c r="K312" s="108">
        <f t="shared" si="92"/>
        <v>155469691</v>
      </c>
      <c r="L312" s="108">
        <f t="shared" si="92"/>
        <v>107084360</v>
      </c>
      <c r="M312" s="108">
        <f t="shared" si="92"/>
        <v>126306945</v>
      </c>
      <c r="N312" s="108">
        <f>N30+N100+N170+N240</f>
        <v>130112378</v>
      </c>
      <c r="P312" t="s">
        <v>64</v>
      </c>
      <c r="Q312" s="100" t="s">
        <v>65</v>
      </c>
      <c r="R312" s="61">
        <f t="shared" ref="R312:R328" si="93">SUM(C312:E312)</f>
        <v>378637678.99599999</v>
      </c>
      <c r="S312" s="61">
        <f t="shared" ref="S312:S328" si="94">SUM(F312:H312)</f>
        <v>380203159</v>
      </c>
      <c r="T312" s="61">
        <f t="shared" ref="T312:T328" si="95">SUM(I312:K312)</f>
        <v>459607456</v>
      </c>
      <c r="U312" s="61">
        <f t="shared" ref="U312:U328" si="96">SUM(L312:N312)</f>
        <v>363503683</v>
      </c>
      <c r="V312" s="61">
        <f t="shared" ref="V312:V328" si="97">SUM(C312:N312)</f>
        <v>1581951976.9960001</v>
      </c>
      <c r="X312" s="62"/>
    </row>
    <row r="313" spans="1:24">
      <c r="A313" t="s">
        <v>66</v>
      </c>
      <c r="B313" s="100" t="s">
        <v>67</v>
      </c>
      <c r="C313" s="104">
        <f t="shared" si="92"/>
        <v>80382991</v>
      </c>
      <c r="D313" s="104">
        <f t="shared" si="92"/>
        <v>71205822.871000007</v>
      </c>
      <c r="E313" s="104">
        <f t="shared" si="92"/>
        <v>77144054</v>
      </c>
      <c r="F313" s="104">
        <f t="shared" si="92"/>
        <v>76268908</v>
      </c>
      <c r="G313" s="104">
        <f t="shared" si="92"/>
        <v>84836773</v>
      </c>
      <c r="H313" s="108">
        <f t="shared" si="92"/>
        <v>83612601</v>
      </c>
      <c r="I313" s="108">
        <f t="shared" si="92"/>
        <v>87361785</v>
      </c>
      <c r="J313" s="68">
        <f t="shared" si="92"/>
        <v>88658061</v>
      </c>
      <c r="K313" s="108">
        <f t="shared" si="92"/>
        <v>84657355</v>
      </c>
      <c r="L313" s="108">
        <f t="shared" si="92"/>
        <v>81532037</v>
      </c>
      <c r="M313" s="125">
        <f t="shared" si="92"/>
        <v>75150829</v>
      </c>
      <c r="N313" s="108">
        <f t="shared" si="92"/>
        <v>70974856</v>
      </c>
      <c r="P313" t="s">
        <v>66</v>
      </c>
      <c r="Q313" s="100" t="s">
        <v>67</v>
      </c>
      <c r="R313" s="61">
        <f t="shared" si="93"/>
        <v>228732867.87099999</v>
      </c>
      <c r="S313" s="61">
        <f t="shared" si="94"/>
        <v>244718282</v>
      </c>
      <c r="T313" s="61">
        <f t="shared" si="95"/>
        <v>260677201</v>
      </c>
      <c r="U313" s="61">
        <f t="shared" si="96"/>
        <v>227657722</v>
      </c>
      <c r="V313" s="61">
        <f t="shared" si="97"/>
        <v>961786072.87100005</v>
      </c>
      <c r="X313" s="62"/>
    </row>
    <row r="314" spans="1:24">
      <c r="A314" t="s">
        <v>68</v>
      </c>
      <c r="B314" s="100" t="s">
        <v>69</v>
      </c>
      <c r="C314" s="104">
        <f t="shared" si="92"/>
        <v>9335189</v>
      </c>
      <c r="D314" s="104">
        <f t="shared" si="92"/>
        <v>8158587</v>
      </c>
      <c r="E314" s="104">
        <f t="shared" si="92"/>
        <v>7614363</v>
      </c>
      <c r="F314" s="104">
        <f t="shared" si="92"/>
        <v>11959430</v>
      </c>
      <c r="G314" s="104">
        <f t="shared" si="92"/>
        <v>11307165</v>
      </c>
      <c r="H314" s="108">
        <f t="shared" si="92"/>
        <v>10995114</v>
      </c>
      <c r="I314" s="108">
        <f t="shared" si="92"/>
        <v>11600366</v>
      </c>
      <c r="J314" s="68">
        <f t="shared" si="92"/>
        <v>11328917</v>
      </c>
      <c r="K314" s="108">
        <f t="shared" si="92"/>
        <v>8674713</v>
      </c>
      <c r="L314" s="108">
        <f t="shared" si="92"/>
        <v>7242408</v>
      </c>
      <c r="M314" s="125">
        <f t="shared" si="92"/>
        <v>9930688</v>
      </c>
      <c r="N314" s="108">
        <f t="shared" si="92"/>
        <v>9784794</v>
      </c>
      <c r="P314" t="s">
        <v>68</v>
      </c>
      <c r="Q314" s="100" t="s">
        <v>69</v>
      </c>
      <c r="R314" s="61">
        <f t="shared" si="93"/>
        <v>25108139</v>
      </c>
      <c r="S314" s="61">
        <f t="shared" si="94"/>
        <v>34261709</v>
      </c>
      <c r="T314" s="61">
        <f t="shared" si="95"/>
        <v>31603996</v>
      </c>
      <c r="U314" s="61">
        <f t="shared" si="96"/>
        <v>26957890</v>
      </c>
      <c r="V314" s="61">
        <f t="shared" si="97"/>
        <v>117931734</v>
      </c>
      <c r="X314" s="62"/>
    </row>
    <row r="315" spans="1:24">
      <c r="A315" t="s">
        <v>70</v>
      </c>
      <c r="B315" s="100" t="s">
        <v>71</v>
      </c>
      <c r="C315" s="104">
        <f t="shared" si="92"/>
        <v>6042335</v>
      </c>
      <c r="D315" s="104">
        <f t="shared" si="92"/>
        <v>5448404</v>
      </c>
      <c r="E315" s="104">
        <f t="shared" si="92"/>
        <v>5963547</v>
      </c>
      <c r="F315" s="104">
        <f t="shared" si="92"/>
        <v>5212044</v>
      </c>
      <c r="G315" s="104">
        <f t="shared" si="92"/>
        <v>5999911</v>
      </c>
      <c r="H315" s="108">
        <f t="shared" si="92"/>
        <v>5818095</v>
      </c>
      <c r="I315" s="108">
        <f t="shared" si="92"/>
        <v>5769611</v>
      </c>
      <c r="J315" s="68">
        <f t="shared" si="92"/>
        <v>4593872</v>
      </c>
      <c r="K315" s="108">
        <f t="shared" si="92"/>
        <v>5815095</v>
      </c>
      <c r="L315" s="108">
        <f t="shared" si="92"/>
        <v>5893822</v>
      </c>
      <c r="M315" s="125">
        <f t="shared" si="92"/>
        <v>5787792</v>
      </c>
      <c r="N315" s="108">
        <f t="shared" si="92"/>
        <v>5587796</v>
      </c>
      <c r="P315" t="s">
        <v>70</v>
      </c>
      <c r="Q315" s="100" t="s">
        <v>71</v>
      </c>
      <c r="R315" s="61">
        <f t="shared" si="93"/>
        <v>17454286</v>
      </c>
      <c r="S315" s="61">
        <f t="shared" si="94"/>
        <v>17030050</v>
      </c>
      <c r="T315" s="61">
        <f t="shared" si="95"/>
        <v>16178578</v>
      </c>
      <c r="U315" s="61">
        <f t="shared" si="96"/>
        <v>17269410</v>
      </c>
      <c r="V315" s="61">
        <f t="shared" si="97"/>
        <v>67932324</v>
      </c>
      <c r="X315" s="62"/>
    </row>
    <row r="316" spans="1:24">
      <c r="A316" s="111" t="s">
        <v>88</v>
      </c>
      <c r="B316" s="100"/>
      <c r="C316" s="139">
        <f t="shared" si="92"/>
        <v>0</v>
      </c>
      <c r="D316" s="139">
        <f t="shared" si="92"/>
        <v>0</v>
      </c>
      <c r="E316" s="104">
        <f t="shared" si="92"/>
        <v>0</v>
      </c>
      <c r="F316" s="108">
        <f t="shared" si="92"/>
        <v>0</v>
      </c>
      <c r="G316" s="104">
        <f t="shared" si="92"/>
        <v>0</v>
      </c>
      <c r="H316" s="125">
        <f t="shared" si="92"/>
        <v>0</v>
      </c>
      <c r="I316" s="108">
        <f t="shared" si="92"/>
        <v>0</v>
      </c>
      <c r="J316" s="68">
        <f t="shared" si="92"/>
        <v>0</v>
      </c>
      <c r="K316" s="108">
        <f t="shared" si="92"/>
        <v>0</v>
      </c>
      <c r="L316" s="108">
        <f t="shared" si="92"/>
        <v>0</v>
      </c>
      <c r="M316" s="108">
        <f t="shared" si="92"/>
        <v>0</v>
      </c>
      <c r="N316" s="108">
        <f t="shared" si="92"/>
        <v>0</v>
      </c>
      <c r="P316" t="s">
        <v>72</v>
      </c>
      <c r="Q316" s="100"/>
      <c r="R316" s="61">
        <f>SUM(C316:E316)</f>
        <v>0</v>
      </c>
      <c r="S316" s="61">
        <f>SUM(F316:H316)</f>
        <v>0</v>
      </c>
      <c r="T316" s="61">
        <f>SUM(I316:K316)</f>
        <v>0</v>
      </c>
      <c r="U316" s="61">
        <f>SUM(L316:N316)</f>
        <v>0</v>
      </c>
      <c r="V316" s="61">
        <f>SUM(C316:N316)</f>
        <v>0</v>
      </c>
      <c r="X316" s="62"/>
    </row>
    <row r="317" spans="1:24">
      <c r="A317" t="s">
        <v>73</v>
      </c>
      <c r="B317" s="100" t="s">
        <v>74</v>
      </c>
      <c r="C317" s="139">
        <f t="shared" si="92"/>
        <v>0</v>
      </c>
      <c r="D317" s="139">
        <f t="shared" si="92"/>
        <v>0</v>
      </c>
      <c r="E317" s="104">
        <f t="shared" si="92"/>
        <v>0</v>
      </c>
      <c r="F317" s="104">
        <f t="shared" si="92"/>
        <v>0</v>
      </c>
      <c r="G317" s="104">
        <f t="shared" si="92"/>
        <v>0</v>
      </c>
      <c r="H317" s="125">
        <f t="shared" si="92"/>
        <v>0</v>
      </c>
      <c r="I317" s="108">
        <f t="shared" si="92"/>
        <v>0</v>
      </c>
      <c r="J317" s="68">
        <f t="shared" si="92"/>
        <v>0</v>
      </c>
      <c r="K317" s="108">
        <f t="shared" si="92"/>
        <v>0</v>
      </c>
      <c r="L317" s="108">
        <f t="shared" si="92"/>
        <v>0</v>
      </c>
      <c r="M317" s="108">
        <f t="shared" si="92"/>
        <v>0</v>
      </c>
      <c r="N317" s="108">
        <f t="shared" si="92"/>
        <v>0</v>
      </c>
      <c r="P317" t="s">
        <v>73</v>
      </c>
      <c r="Q317" s="100" t="s">
        <v>74</v>
      </c>
      <c r="R317" s="61">
        <f t="shared" si="93"/>
        <v>0</v>
      </c>
      <c r="S317" s="61">
        <f t="shared" si="94"/>
        <v>0</v>
      </c>
      <c r="T317" s="77">
        <f t="shared" si="95"/>
        <v>0</v>
      </c>
      <c r="U317" s="61">
        <f t="shared" si="96"/>
        <v>0</v>
      </c>
      <c r="V317" s="61">
        <f t="shared" si="97"/>
        <v>0</v>
      </c>
      <c r="X317" s="62"/>
    </row>
    <row r="318" spans="1:24">
      <c r="A318" t="s">
        <v>75</v>
      </c>
      <c r="B318" s="100" t="s">
        <v>76</v>
      </c>
      <c r="C318" s="139">
        <f t="shared" si="92"/>
        <v>0</v>
      </c>
      <c r="D318" s="139">
        <f t="shared" si="92"/>
        <v>0</v>
      </c>
      <c r="E318" s="104">
        <f t="shared" si="92"/>
        <v>0</v>
      </c>
      <c r="F318" s="104">
        <f t="shared" si="92"/>
        <v>0</v>
      </c>
      <c r="G318" s="120">
        <f t="shared" si="92"/>
        <v>0</v>
      </c>
      <c r="H318" s="125">
        <f t="shared" si="92"/>
        <v>0</v>
      </c>
      <c r="I318" s="108">
        <f t="shared" si="92"/>
        <v>0</v>
      </c>
      <c r="J318" s="68">
        <f t="shared" si="92"/>
        <v>0</v>
      </c>
      <c r="K318" s="108">
        <f t="shared" si="92"/>
        <v>0</v>
      </c>
      <c r="L318" s="108">
        <f t="shared" si="92"/>
        <v>0</v>
      </c>
      <c r="M318" s="108">
        <f t="shared" si="92"/>
        <v>0</v>
      </c>
      <c r="N318" s="108">
        <f t="shared" si="92"/>
        <v>0</v>
      </c>
      <c r="P318" t="s">
        <v>75</v>
      </c>
      <c r="Q318" s="100" t="s">
        <v>76</v>
      </c>
      <c r="R318" s="61">
        <f t="shared" si="93"/>
        <v>0</v>
      </c>
      <c r="S318" s="61">
        <f t="shared" si="94"/>
        <v>0</v>
      </c>
      <c r="T318" s="61">
        <f t="shared" si="95"/>
        <v>0</v>
      </c>
      <c r="U318" s="61">
        <f t="shared" si="96"/>
        <v>0</v>
      </c>
      <c r="V318" s="61">
        <f t="shared" si="97"/>
        <v>0</v>
      </c>
      <c r="X318" s="62"/>
    </row>
    <row r="319" spans="1:24">
      <c r="A319" t="s">
        <v>77</v>
      </c>
      <c r="B319" s="100" t="s">
        <v>78</v>
      </c>
      <c r="C319" s="104">
        <f t="shared" si="92"/>
        <v>29392131</v>
      </c>
      <c r="D319" s="104">
        <f t="shared" si="92"/>
        <v>25915101</v>
      </c>
      <c r="E319" s="104">
        <f t="shared" si="92"/>
        <v>27134960</v>
      </c>
      <c r="F319" s="104">
        <f t="shared" si="92"/>
        <v>23850349</v>
      </c>
      <c r="G319" s="104">
        <f t="shared" si="92"/>
        <v>26043790</v>
      </c>
      <c r="H319" s="125">
        <f t="shared" si="92"/>
        <v>28059618</v>
      </c>
      <c r="I319" s="108">
        <f t="shared" si="92"/>
        <v>32018506</v>
      </c>
      <c r="J319" s="68">
        <f t="shared" si="92"/>
        <v>33104332</v>
      </c>
      <c r="K319" s="108">
        <f t="shared" si="92"/>
        <v>30661326</v>
      </c>
      <c r="L319" s="108">
        <f t="shared" si="92"/>
        <v>25788472</v>
      </c>
      <c r="M319" s="108">
        <f t="shared" si="92"/>
        <v>25362528</v>
      </c>
      <c r="N319" s="108">
        <f t="shared" si="92"/>
        <v>25991166</v>
      </c>
      <c r="P319" t="s">
        <v>77</v>
      </c>
      <c r="Q319" s="100" t="s">
        <v>78</v>
      </c>
      <c r="R319" s="61">
        <f t="shared" si="93"/>
        <v>82442192</v>
      </c>
      <c r="S319" s="61">
        <f t="shared" si="94"/>
        <v>77953757</v>
      </c>
      <c r="T319" s="61">
        <f t="shared" si="95"/>
        <v>95784164</v>
      </c>
      <c r="U319" s="61">
        <f t="shared" si="96"/>
        <v>77142166</v>
      </c>
      <c r="V319" s="61">
        <f t="shared" si="97"/>
        <v>333322279</v>
      </c>
      <c r="X319" s="62"/>
    </row>
    <row r="320" spans="1:24">
      <c r="A320" t="s">
        <v>79</v>
      </c>
      <c r="B320" s="100" t="s">
        <v>80</v>
      </c>
      <c r="C320" s="104">
        <f t="shared" si="92"/>
        <v>2276702.5210000002</v>
      </c>
      <c r="D320" s="104">
        <f t="shared" si="92"/>
        <v>2055470.0179999997</v>
      </c>
      <c r="E320" s="104">
        <f t="shared" si="92"/>
        <v>2004884.0000000005</v>
      </c>
      <c r="F320" s="104">
        <f t="shared" si="92"/>
        <v>1730031</v>
      </c>
      <c r="G320" s="104">
        <f t="shared" si="92"/>
        <v>1661555</v>
      </c>
      <c r="H320" s="125">
        <f t="shared" si="92"/>
        <v>1644860</v>
      </c>
      <c r="I320" s="108">
        <f t="shared" si="92"/>
        <v>1814698</v>
      </c>
      <c r="J320" s="68">
        <f t="shared" si="92"/>
        <v>1930163</v>
      </c>
      <c r="K320" s="108">
        <f t="shared" si="92"/>
        <v>2085910</v>
      </c>
      <c r="L320" s="108">
        <f t="shared" si="92"/>
        <v>2058366</v>
      </c>
      <c r="M320" s="108">
        <f t="shared" si="92"/>
        <v>2385012</v>
      </c>
      <c r="N320" s="108">
        <f t="shared" si="92"/>
        <v>2408587</v>
      </c>
      <c r="P320" t="s">
        <v>79</v>
      </c>
      <c r="Q320" s="100" t="s">
        <v>80</v>
      </c>
      <c r="R320" s="61">
        <f t="shared" si="93"/>
        <v>6337056.5390000008</v>
      </c>
      <c r="S320" s="61">
        <f t="shared" si="94"/>
        <v>5036446</v>
      </c>
      <c r="T320" s="61">
        <f t="shared" si="95"/>
        <v>5830771</v>
      </c>
      <c r="U320" s="61">
        <f t="shared" si="96"/>
        <v>6851965</v>
      </c>
      <c r="V320" s="61">
        <f t="shared" si="97"/>
        <v>24056238.539000001</v>
      </c>
      <c r="X320" s="62"/>
    </row>
    <row r="321" spans="1:27">
      <c r="A321" t="s">
        <v>81</v>
      </c>
      <c r="B321" s="100" t="s">
        <v>82</v>
      </c>
      <c r="C321" s="104">
        <f t="shared" si="92"/>
        <v>9280074</v>
      </c>
      <c r="D321" s="104">
        <f t="shared" si="92"/>
        <v>9224281</v>
      </c>
      <c r="E321" s="104">
        <f t="shared" si="92"/>
        <v>9397358</v>
      </c>
      <c r="F321" s="104">
        <f t="shared" si="92"/>
        <v>8728052</v>
      </c>
      <c r="G321" s="104">
        <f t="shared" si="92"/>
        <v>8754813</v>
      </c>
      <c r="H321" s="125">
        <f t="shared" si="92"/>
        <v>9198444</v>
      </c>
      <c r="I321" s="108">
        <f t="shared" si="92"/>
        <v>10075487</v>
      </c>
      <c r="J321" s="68">
        <f t="shared" si="92"/>
        <v>9520800</v>
      </c>
      <c r="K321" s="108">
        <f t="shared" si="92"/>
        <v>10043324</v>
      </c>
      <c r="L321" s="108">
        <f t="shared" si="92"/>
        <v>8915143</v>
      </c>
      <c r="M321" s="108">
        <f t="shared" si="92"/>
        <v>8695732</v>
      </c>
      <c r="N321" s="108">
        <f t="shared" si="92"/>
        <v>9581918</v>
      </c>
      <c r="P321" t="s">
        <v>81</v>
      </c>
      <c r="Q321" s="100" t="s">
        <v>82</v>
      </c>
      <c r="R321" s="61">
        <f t="shared" si="93"/>
        <v>27901713</v>
      </c>
      <c r="S321" s="61">
        <f t="shared" si="94"/>
        <v>26681309</v>
      </c>
      <c r="T321" s="61">
        <f t="shared" si="95"/>
        <v>29639611</v>
      </c>
      <c r="U321" s="61">
        <f t="shared" si="96"/>
        <v>27192793</v>
      </c>
      <c r="V321" s="61">
        <f t="shared" si="97"/>
        <v>111415426</v>
      </c>
      <c r="X321" s="62"/>
    </row>
    <row r="322" spans="1:27">
      <c r="A322" t="s">
        <v>83</v>
      </c>
      <c r="B322" s="100" t="s">
        <v>84</v>
      </c>
      <c r="C322" s="127">
        <f>C40+C110+C180+C250</f>
        <v>265943</v>
      </c>
      <c r="D322" s="127">
        <f t="shared" si="92"/>
        <v>366294</v>
      </c>
      <c r="E322" s="127">
        <f>E40+E110+E180+E250</f>
        <v>346794</v>
      </c>
      <c r="F322" s="127">
        <f>F40+F110+F180+F250</f>
        <v>225346</v>
      </c>
      <c r="G322" s="127">
        <f t="shared" si="92"/>
        <v>217099</v>
      </c>
      <c r="H322" s="128">
        <f t="shared" si="92"/>
        <v>239411</v>
      </c>
      <c r="I322" s="127">
        <f t="shared" si="92"/>
        <v>259368</v>
      </c>
      <c r="J322" s="79">
        <f t="shared" si="92"/>
        <v>251585</v>
      </c>
      <c r="K322" s="127">
        <f t="shared" si="92"/>
        <v>276742</v>
      </c>
      <c r="L322" s="127">
        <f t="shared" si="92"/>
        <v>244646</v>
      </c>
      <c r="M322" s="127">
        <f t="shared" si="92"/>
        <v>286928</v>
      </c>
      <c r="N322" s="128">
        <f t="shared" si="92"/>
        <v>272825</v>
      </c>
      <c r="P322" t="s">
        <v>83</v>
      </c>
      <c r="Q322" s="100" t="s">
        <v>84</v>
      </c>
      <c r="R322" s="65">
        <f t="shared" si="93"/>
        <v>979031</v>
      </c>
      <c r="S322" s="65">
        <f t="shared" si="94"/>
        <v>681856</v>
      </c>
      <c r="T322" s="65">
        <f t="shared" si="95"/>
        <v>787695</v>
      </c>
      <c r="U322" s="65">
        <f t="shared" si="96"/>
        <v>804399</v>
      </c>
      <c r="V322" s="65">
        <f t="shared" si="97"/>
        <v>3252981</v>
      </c>
      <c r="X322" s="62"/>
    </row>
    <row r="323" spans="1:27">
      <c r="A323" s="103" t="s">
        <v>85</v>
      </c>
      <c r="C323" s="104">
        <f t="shared" ref="C323:N324" si="98">C41+C111+C181+C251</f>
        <v>494784329.51699996</v>
      </c>
      <c r="D323" s="104">
        <f>D41+D111+D181+D251</f>
        <v>427187602.889</v>
      </c>
      <c r="E323" s="104">
        <f>E41+E111+E181+E251</f>
        <v>426872037</v>
      </c>
      <c r="F323" s="104">
        <f t="shared" si="98"/>
        <v>340651554</v>
      </c>
      <c r="G323" s="104">
        <f t="shared" si="98"/>
        <v>376328021</v>
      </c>
      <c r="H323" s="108">
        <f t="shared" si="92"/>
        <v>419351382</v>
      </c>
      <c r="I323" s="108">
        <f>I41+I111+I181+I251</f>
        <v>492836509</v>
      </c>
      <c r="J323" s="68">
        <f t="shared" si="98"/>
        <v>475445680</v>
      </c>
      <c r="K323" s="108">
        <f t="shared" si="98"/>
        <v>456374795</v>
      </c>
      <c r="L323" s="108">
        <f t="shared" si="98"/>
        <v>363044982</v>
      </c>
      <c r="M323" s="108">
        <f t="shared" si="98"/>
        <v>401999365</v>
      </c>
      <c r="N323" s="108">
        <f>N41+N111+N181+N251</f>
        <v>439014387</v>
      </c>
      <c r="P323" s="106" t="s">
        <v>85</v>
      </c>
      <c r="R323" s="61">
        <f t="shared" si="93"/>
        <v>1348843969.4059999</v>
      </c>
      <c r="S323" s="61">
        <f t="shared" si="94"/>
        <v>1136330957</v>
      </c>
      <c r="T323" s="77">
        <f t="shared" si="95"/>
        <v>1424656984</v>
      </c>
      <c r="U323" s="61">
        <f t="shared" si="96"/>
        <v>1204058734</v>
      </c>
      <c r="V323" s="92">
        <f>SUM(C323:N323)+1</f>
        <v>5113890645.4060001</v>
      </c>
      <c r="X323" s="62"/>
    </row>
    <row r="324" spans="1:27" ht="15.75" thickBot="1">
      <c r="A324" s="103" t="s">
        <v>86</v>
      </c>
      <c r="C324" s="107">
        <f t="shared" si="98"/>
        <v>465392198.51699996</v>
      </c>
      <c r="D324" s="107">
        <f>D42+D112+D182+D252</f>
        <v>401272501.889</v>
      </c>
      <c r="E324" s="107">
        <f t="shared" si="98"/>
        <v>399737077</v>
      </c>
      <c r="F324" s="107">
        <f t="shared" si="98"/>
        <v>316801205</v>
      </c>
      <c r="G324" s="107">
        <f t="shared" si="98"/>
        <v>350284231</v>
      </c>
      <c r="H324" s="107">
        <f t="shared" si="92"/>
        <v>391291764</v>
      </c>
      <c r="I324" s="107">
        <f t="shared" si="98"/>
        <v>460818003</v>
      </c>
      <c r="J324" s="66">
        <f t="shared" si="98"/>
        <v>442341348</v>
      </c>
      <c r="K324" s="107">
        <f t="shared" si="98"/>
        <v>425713469</v>
      </c>
      <c r="L324" s="107">
        <f t="shared" si="98"/>
        <v>337256510</v>
      </c>
      <c r="M324" s="107">
        <f t="shared" si="98"/>
        <v>376636837</v>
      </c>
      <c r="N324" s="107">
        <f t="shared" si="98"/>
        <v>413023221</v>
      </c>
      <c r="P324" s="106" t="s">
        <v>86</v>
      </c>
      <c r="R324" s="67">
        <f>SUM(C324:E324)+1</f>
        <v>1266401778.4059999</v>
      </c>
      <c r="S324" s="67">
        <f t="shared" si="94"/>
        <v>1058377200</v>
      </c>
      <c r="T324" s="67">
        <f t="shared" si="95"/>
        <v>1328872820</v>
      </c>
      <c r="U324" s="67">
        <f t="shared" si="96"/>
        <v>1126916568</v>
      </c>
      <c r="V324" s="67">
        <f>SUM(C324:N324)+1</f>
        <v>4780568366.4060001</v>
      </c>
      <c r="X324" s="62"/>
    </row>
    <row r="325" spans="1:27" ht="15.75" thickTop="1">
      <c r="A325" s="106"/>
      <c r="C325" s="104"/>
      <c r="D325" s="104"/>
      <c r="E325" s="104"/>
      <c r="F325" s="104"/>
      <c r="G325" s="104"/>
      <c r="H325" s="108"/>
      <c r="I325" s="115"/>
      <c r="J325" s="68"/>
      <c r="K325" s="108"/>
      <c r="L325" s="108"/>
      <c r="M325" s="108"/>
      <c r="N325" s="108"/>
      <c r="P325" s="106"/>
      <c r="R325" s="61"/>
      <c r="S325" s="61"/>
      <c r="T325" s="77"/>
      <c r="U325" s="61"/>
      <c r="V325" s="61"/>
      <c r="X325" s="62"/>
    </row>
    <row r="326" spans="1:27">
      <c r="A326" s="111" t="s">
        <v>110</v>
      </c>
      <c r="B326" t="s">
        <v>90</v>
      </c>
      <c r="C326" s="104">
        <f t="shared" ref="C326:N328" si="99">C44+C114+C184+C254</f>
        <v>24157276</v>
      </c>
      <c r="D326" s="104">
        <f t="shared" si="99"/>
        <v>-15247094</v>
      </c>
      <c r="E326" s="104">
        <f t="shared" si="99"/>
        <v>-19684564</v>
      </c>
      <c r="F326" s="104">
        <f t="shared" si="99"/>
        <v>-24274454</v>
      </c>
      <c r="G326" s="104">
        <f t="shared" si="99"/>
        <v>7335134</v>
      </c>
      <c r="H326" s="108">
        <f>H44+H114+H184+H254</f>
        <v>18007981</v>
      </c>
      <c r="I326" s="108">
        <f t="shared" si="99"/>
        <v>24891341</v>
      </c>
      <c r="J326" s="68">
        <f t="shared" si="99"/>
        <v>-1492034</v>
      </c>
      <c r="K326" s="108">
        <f t="shared" si="99"/>
        <v>-16768820</v>
      </c>
      <c r="L326" s="108">
        <f>L44+L114+L184+L254</f>
        <v>-15265462</v>
      </c>
      <c r="M326" s="108">
        <f t="shared" si="99"/>
        <v>11480936</v>
      </c>
      <c r="N326" s="108">
        <f t="shared" si="99"/>
        <v>10305370</v>
      </c>
      <c r="P326" t="s">
        <v>91</v>
      </c>
      <c r="Q326" t="s">
        <v>90</v>
      </c>
      <c r="R326" s="61">
        <f t="shared" si="93"/>
        <v>-10774382</v>
      </c>
      <c r="S326" s="61">
        <f t="shared" si="94"/>
        <v>1068661</v>
      </c>
      <c r="T326" s="61">
        <f t="shared" si="95"/>
        <v>6630487</v>
      </c>
      <c r="U326" s="61">
        <f t="shared" si="96"/>
        <v>6520844</v>
      </c>
      <c r="V326" s="61">
        <f t="shared" si="97"/>
        <v>3445610</v>
      </c>
      <c r="X326" s="62"/>
    </row>
    <row r="327" spans="1:27">
      <c r="A327" s="106"/>
      <c r="B327" t="s">
        <v>92</v>
      </c>
      <c r="C327" s="104">
        <f t="shared" si="99"/>
        <v>13877057</v>
      </c>
      <c r="D327" s="104">
        <f t="shared" si="99"/>
        <v>-12960871</v>
      </c>
      <c r="E327" s="104">
        <f t="shared" si="99"/>
        <v>-11191110</v>
      </c>
      <c r="F327" s="108">
        <f t="shared" si="99"/>
        <v>-5831857</v>
      </c>
      <c r="G327" s="108">
        <f t="shared" si="99"/>
        <v>15202564</v>
      </c>
      <c r="H327" s="108">
        <f>H45+H115+H185+H255</f>
        <v>14969697</v>
      </c>
      <c r="I327" s="108">
        <f t="shared" si="99"/>
        <v>9073261</v>
      </c>
      <c r="J327" s="68">
        <f t="shared" si="99"/>
        <v>-1402429</v>
      </c>
      <c r="K327" s="108">
        <f t="shared" si="99"/>
        <v>-8781836</v>
      </c>
      <c r="L327" s="108">
        <f t="shared" si="99"/>
        <v>-16233681</v>
      </c>
      <c r="M327" s="108">
        <f t="shared" si="99"/>
        <v>8444981</v>
      </c>
      <c r="N327" s="108">
        <f t="shared" si="99"/>
        <v>243805</v>
      </c>
      <c r="P327" s="106" t="s">
        <v>93</v>
      </c>
      <c r="Q327" t="s">
        <v>92</v>
      </c>
      <c r="R327" s="61">
        <f t="shared" si="93"/>
        <v>-10274924</v>
      </c>
      <c r="S327" s="61">
        <f t="shared" si="94"/>
        <v>24340404</v>
      </c>
      <c r="T327" s="61">
        <f t="shared" si="95"/>
        <v>-1111004</v>
      </c>
      <c r="U327" s="61">
        <f t="shared" si="96"/>
        <v>-7544895</v>
      </c>
      <c r="V327" s="61">
        <f t="shared" si="97"/>
        <v>5409581</v>
      </c>
      <c r="X327" s="62"/>
    </row>
    <row r="328" spans="1:27">
      <c r="B328" t="s">
        <v>94</v>
      </c>
      <c r="C328" s="104">
        <f t="shared" si="99"/>
        <v>631269</v>
      </c>
      <c r="D328" s="104">
        <f t="shared" si="99"/>
        <v>-1547867</v>
      </c>
      <c r="E328" s="104">
        <f t="shared" si="99"/>
        <v>-1070374</v>
      </c>
      <c r="F328" s="108">
        <f t="shared" si="99"/>
        <v>-664942</v>
      </c>
      <c r="G328" s="108">
        <f t="shared" si="99"/>
        <v>2746989</v>
      </c>
      <c r="H328" s="108">
        <f>H46+H116+H186+H256</f>
        <v>1138357</v>
      </c>
      <c r="I328" s="108">
        <f t="shared" si="99"/>
        <v>659737</v>
      </c>
      <c r="J328" s="68">
        <f t="shared" si="99"/>
        <v>-237498</v>
      </c>
      <c r="K328" s="108">
        <f t="shared" si="99"/>
        <v>-1666096</v>
      </c>
      <c r="L328" s="108">
        <f t="shared" si="99"/>
        <v>-436774</v>
      </c>
      <c r="M328" s="108">
        <f t="shared" si="99"/>
        <v>674496</v>
      </c>
      <c r="N328" s="108">
        <f t="shared" si="99"/>
        <v>-1166719</v>
      </c>
      <c r="Q328" t="s">
        <v>94</v>
      </c>
      <c r="R328" s="61">
        <f t="shared" si="93"/>
        <v>-1986972</v>
      </c>
      <c r="S328" s="61">
        <f t="shared" si="94"/>
        <v>3220404</v>
      </c>
      <c r="T328" s="61">
        <f t="shared" si="95"/>
        <v>-1243857</v>
      </c>
      <c r="U328" s="61">
        <f t="shared" si="96"/>
        <v>-928997</v>
      </c>
      <c r="V328" s="61">
        <f t="shared" si="97"/>
        <v>-939422</v>
      </c>
      <c r="X328" s="62"/>
    </row>
    <row r="329" spans="1:27" s="140" customFormat="1" ht="11.25">
      <c r="C329" s="141"/>
      <c r="D329" s="141"/>
      <c r="E329" s="141"/>
      <c r="F329" s="142"/>
      <c r="G329" s="142"/>
      <c r="H329" s="142"/>
      <c r="I329" s="142"/>
      <c r="J329" s="93"/>
      <c r="K329" s="142"/>
      <c r="L329" s="142"/>
      <c r="M329" s="142"/>
      <c r="N329" s="142"/>
      <c r="R329" s="94"/>
      <c r="S329" s="94"/>
      <c r="T329" s="94"/>
      <c r="U329" s="94"/>
      <c r="V329" s="94"/>
      <c r="X329" s="95"/>
    </row>
    <row r="330" spans="1:27">
      <c r="A330" s="140"/>
      <c r="B330" s="140"/>
      <c r="C330" s="141"/>
      <c r="D330" s="141"/>
      <c r="E330" s="141"/>
      <c r="F330" s="108"/>
      <c r="G330" s="108"/>
      <c r="H330" s="108"/>
      <c r="I330" s="108"/>
      <c r="J330" s="68"/>
      <c r="K330" s="108"/>
      <c r="L330" s="108"/>
      <c r="M330" s="108"/>
      <c r="N330" s="108"/>
      <c r="R330" s="61"/>
      <c r="S330" s="61"/>
      <c r="T330" s="61"/>
      <c r="U330" s="61"/>
      <c r="V330" s="61"/>
      <c r="X330" s="62"/>
    </row>
    <row r="331" spans="1:27">
      <c r="C331" s="104"/>
      <c r="D331" s="104"/>
      <c r="E331" s="104"/>
      <c r="F331" s="108"/>
      <c r="G331" s="108"/>
      <c r="H331" s="108"/>
      <c r="I331" s="108"/>
      <c r="J331" s="68"/>
      <c r="K331" s="108"/>
      <c r="L331" s="108"/>
      <c r="M331" s="108"/>
      <c r="N331" s="108"/>
    </row>
    <row r="332" spans="1:27" ht="13.5" customHeight="1">
      <c r="A332" s="98" t="s">
        <v>111</v>
      </c>
      <c r="C332" s="104"/>
      <c r="D332" s="104"/>
      <c r="E332" s="104"/>
      <c r="F332" s="108"/>
      <c r="G332" s="108"/>
      <c r="H332" s="108"/>
      <c r="I332" s="108"/>
      <c r="J332" s="68"/>
      <c r="K332" s="108"/>
      <c r="L332" s="108"/>
      <c r="M332" s="108"/>
      <c r="N332" s="108"/>
      <c r="P332" s="98" t="s">
        <v>111</v>
      </c>
    </row>
    <row r="333" spans="1:27">
      <c r="A333" t="s">
        <v>62</v>
      </c>
      <c r="B333" s="100" t="s">
        <v>63</v>
      </c>
      <c r="C333" s="115">
        <f t="shared" ref="C333:N346" si="100">C52+C122+C192+C262</f>
        <v>25937278.779999997</v>
      </c>
      <c r="D333" s="122">
        <f t="shared" si="100"/>
        <v>23257066.34</v>
      </c>
      <c r="E333" s="122">
        <f t="shared" si="100"/>
        <v>22017521.319999997</v>
      </c>
      <c r="F333" s="115">
        <f t="shared" si="100"/>
        <v>13939084.699999999</v>
      </c>
      <c r="G333" s="115">
        <f>G52+G122+G192+G262</f>
        <v>14951387.390000004</v>
      </c>
      <c r="H333" s="115">
        <f>H52+H122+H192+H262</f>
        <v>19406232.659999996</v>
      </c>
      <c r="I333" s="115">
        <f t="shared" si="100"/>
        <v>27102078.660000004</v>
      </c>
      <c r="J333" s="81">
        <f t="shared" si="100"/>
        <v>24947187.539999999</v>
      </c>
      <c r="K333" s="115">
        <f t="shared" si="100"/>
        <v>22425263.57</v>
      </c>
      <c r="L333" s="130">
        <f t="shared" si="100"/>
        <v>17305268.020000003</v>
      </c>
      <c r="M333" s="130">
        <f>M52+M122+M192+M262</f>
        <v>19326230.620000005</v>
      </c>
      <c r="N333" s="115">
        <f t="shared" si="100"/>
        <v>22750280.710000005</v>
      </c>
      <c r="P333" t="s">
        <v>62</v>
      </c>
      <c r="Q333" s="100" t="s">
        <v>63</v>
      </c>
      <c r="R333" s="70">
        <f t="shared" ref="R333:R350" si="101">SUM(C333:E333)</f>
        <v>71211866.439999998</v>
      </c>
      <c r="S333" s="70">
        <f t="shared" ref="S333:S350" si="102">SUM(F333:H333)</f>
        <v>48296704.75</v>
      </c>
      <c r="T333" s="70">
        <f t="shared" ref="T333:T350" si="103">SUM(I333:K333)</f>
        <v>74474529.770000011</v>
      </c>
      <c r="U333" s="70">
        <f t="shared" ref="U333:U350" si="104">SUM(L333:N333)</f>
        <v>59381779.350000009</v>
      </c>
      <c r="V333" s="70">
        <f t="shared" ref="V333:V350" si="105">SUM(C333:N333)</f>
        <v>253364880.31</v>
      </c>
      <c r="X333" s="62"/>
      <c r="AA333" s="96"/>
    </row>
    <row r="334" spans="1:27">
      <c r="A334" t="s">
        <v>64</v>
      </c>
      <c r="B334" s="100" t="s">
        <v>65</v>
      </c>
      <c r="C334" s="115">
        <f t="shared" si="100"/>
        <v>14914643.85</v>
      </c>
      <c r="D334" s="122">
        <f t="shared" si="100"/>
        <v>12434483.790000003</v>
      </c>
      <c r="E334" s="122">
        <f t="shared" si="100"/>
        <v>12428090.839999998</v>
      </c>
      <c r="F334" s="115">
        <f t="shared" si="100"/>
        <v>11746508.529999997</v>
      </c>
      <c r="G334" s="115">
        <f t="shared" si="100"/>
        <v>13972724.09</v>
      </c>
      <c r="H334" s="115">
        <f t="shared" si="100"/>
        <v>16407827.180000002</v>
      </c>
      <c r="I334" s="115">
        <f t="shared" si="100"/>
        <v>18303726.400000006</v>
      </c>
      <c r="J334" s="81">
        <f t="shared" si="100"/>
        <v>17877486.440000001</v>
      </c>
      <c r="K334" s="115">
        <f t="shared" si="100"/>
        <v>17675643.199999999</v>
      </c>
      <c r="L334" s="130">
        <f t="shared" si="100"/>
        <v>12482719.249999996</v>
      </c>
      <c r="M334" s="130">
        <f t="shared" si="100"/>
        <v>13939243.090000004</v>
      </c>
      <c r="N334" s="115">
        <f t="shared" si="100"/>
        <v>13536848.689999998</v>
      </c>
      <c r="P334" t="s">
        <v>64</v>
      </c>
      <c r="Q334" s="100" t="s">
        <v>65</v>
      </c>
      <c r="R334" s="70">
        <f t="shared" si="101"/>
        <v>39777218.479999997</v>
      </c>
      <c r="S334" s="70">
        <f t="shared" si="102"/>
        <v>42127059.799999997</v>
      </c>
      <c r="T334" s="70">
        <f t="shared" si="103"/>
        <v>53856856.040000007</v>
      </c>
      <c r="U334" s="70">
        <f t="shared" si="104"/>
        <v>39958811.030000001</v>
      </c>
      <c r="V334" s="70">
        <f t="shared" si="105"/>
        <v>175719945.34999999</v>
      </c>
      <c r="X334" s="62"/>
      <c r="AA334" s="96"/>
    </row>
    <row r="335" spans="1:27">
      <c r="A335" t="s">
        <v>66</v>
      </c>
      <c r="B335" s="100" t="s">
        <v>67</v>
      </c>
      <c r="C335" s="115">
        <f t="shared" si="100"/>
        <v>5952554.709999999</v>
      </c>
      <c r="D335" s="122">
        <f t="shared" si="100"/>
        <v>5594288.1099999994</v>
      </c>
      <c r="E335" s="114">
        <f t="shared" si="100"/>
        <v>5850758.8600000003</v>
      </c>
      <c r="F335" s="115">
        <f t="shared" si="100"/>
        <v>5825708.2700000005</v>
      </c>
      <c r="G335" s="115">
        <f t="shared" si="100"/>
        <v>6467778.3300000019</v>
      </c>
      <c r="H335" s="115">
        <f t="shared" si="100"/>
        <v>7800631.3399999999</v>
      </c>
      <c r="I335" s="115">
        <f t="shared" si="100"/>
        <v>8172538.7400000021</v>
      </c>
      <c r="J335" s="81">
        <f t="shared" si="100"/>
        <v>8201731.8499999996</v>
      </c>
      <c r="K335" s="115">
        <f t="shared" si="100"/>
        <v>7822643.8599999994</v>
      </c>
      <c r="L335" s="130">
        <f t="shared" si="100"/>
        <v>6545018.8600000003</v>
      </c>
      <c r="M335" s="130">
        <f t="shared" si="100"/>
        <v>6138532.3400000008</v>
      </c>
      <c r="N335" s="115">
        <f t="shared" si="100"/>
        <v>5509586.4899999993</v>
      </c>
      <c r="P335" t="s">
        <v>66</v>
      </c>
      <c r="Q335" s="100" t="s">
        <v>67</v>
      </c>
      <c r="R335" s="70">
        <f t="shared" si="101"/>
        <v>17397601.68</v>
      </c>
      <c r="S335" s="70">
        <f t="shared" si="102"/>
        <v>20094117.940000001</v>
      </c>
      <c r="T335" s="70">
        <f t="shared" si="103"/>
        <v>24196914.450000003</v>
      </c>
      <c r="U335" s="70">
        <f t="shared" si="104"/>
        <v>18193137.690000001</v>
      </c>
      <c r="V335" s="70">
        <f t="shared" si="105"/>
        <v>79881771.760000005</v>
      </c>
      <c r="X335" s="62"/>
      <c r="AA335" s="96"/>
    </row>
    <row r="336" spans="1:27">
      <c r="A336" t="s">
        <v>68</v>
      </c>
      <c r="B336" s="100" t="s">
        <v>69</v>
      </c>
      <c r="C336" s="114">
        <f t="shared" si="100"/>
        <v>675538.84</v>
      </c>
      <c r="D336" s="122">
        <f t="shared" si="100"/>
        <v>652835.71</v>
      </c>
      <c r="E336" s="114">
        <f t="shared" si="100"/>
        <v>615068.76</v>
      </c>
      <c r="F336" s="115">
        <f t="shared" si="100"/>
        <v>896841.85</v>
      </c>
      <c r="G336" s="115">
        <f t="shared" si="100"/>
        <v>855410.8899999999</v>
      </c>
      <c r="H336" s="115">
        <f t="shared" si="100"/>
        <v>1015857.0399999999</v>
      </c>
      <c r="I336" s="115">
        <f t="shared" si="100"/>
        <v>1002463.2000000002</v>
      </c>
      <c r="J336" s="81">
        <f t="shared" si="100"/>
        <v>960043.58</v>
      </c>
      <c r="K336" s="115">
        <f t="shared" si="100"/>
        <v>833234.6399999999</v>
      </c>
      <c r="L336" s="130">
        <f t="shared" si="100"/>
        <v>642192.69000000018</v>
      </c>
      <c r="M336" s="130">
        <f t="shared" si="100"/>
        <v>710950.81999999983</v>
      </c>
      <c r="N336" s="115">
        <f t="shared" si="100"/>
        <v>676410.14</v>
      </c>
      <c r="P336" t="s">
        <v>68</v>
      </c>
      <c r="Q336" s="100" t="s">
        <v>69</v>
      </c>
      <c r="R336" s="70">
        <f t="shared" si="101"/>
        <v>1943443.3099999998</v>
      </c>
      <c r="S336" s="70">
        <f t="shared" si="102"/>
        <v>2768109.78</v>
      </c>
      <c r="T336" s="70">
        <f t="shared" si="103"/>
        <v>2795741.42</v>
      </c>
      <c r="U336" s="70">
        <f t="shared" si="104"/>
        <v>2029553.65</v>
      </c>
      <c r="V336" s="70">
        <f t="shared" si="105"/>
        <v>9536848.1600000001</v>
      </c>
      <c r="X336" s="62"/>
    </row>
    <row r="337" spans="1:27">
      <c r="A337" t="s">
        <v>70</v>
      </c>
      <c r="B337" s="100" t="s">
        <v>71</v>
      </c>
      <c r="C337" s="114">
        <f t="shared" si="100"/>
        <v>305698.35000000003</v>
      </c>
      <c r="D337" s="122">
        <f t="shared" si="100"/>
        <v>286887.95999999996</v>
      </c>
      <c r="E337" s="114">
        <f t="shared" si="100"/>
        <v>302038.23</v>
      </c>
      <c r="F337" s="115">
        <f t="shared" si="100"/>
        <v>279614.88</v>
      </c>
      <c r="G337" s="115">
        <f t="shared" si="100"/>
        <v>304581.06</v>
      </c>
      <c r="H337" s="115">
        <f t="shared" si="100"/>
        <v>424021.79</v>
      </c>
      <c r="I337" s="115">
        <f t="shared" si="100"/>
        <v>421800.91</v>
      </c>
      <c r="J337" s="81">
        <f t="shared" si="100"/>
        <v>363910.89</v>
      </c>
      <c r="K337" s="115">
        <f t="shared" si="100"/>
        <v>422485.73</v>
      </c>
      <c r="L337" s="130">
        <f t="shared" si="100"/>
        <v>327478.53000000003</v>
      </c>
      <c r="M337" s="130">
        <f t="shared" si="100"/>
        <v>321835.77999999997</v>
      </c>
      <c r="N337" s="115">
        <f t="shared" si="100"/>
        <v>278128.66000000003</v>
      </c>
      <c r="P337" t="s">
        <v>70</v>
      </c>
      <c r="Q337" s="100" t="s">
        <v>71</v>
      </c>
      <c r="R337" s="70">
        <f t="shared" si="101"/>
        <v>894624.54</v>
      </c>
      <c r="S337" s="70">
        <f t="shared" si="102"/>
        <v>1008217.73</v>
      </c>
      <c r="T337" s="70">
        <f t="shared" si="103"/>
        <v>1208197.53</v>
      </c>
      <c r="U337" s="70">
        <f t="shared" si="104"/>
        <v>927442.97000000009</v>
      </c>
      <c r="V337" s="70">
        <f t="shared" si="105"/>
        <v>4038482.77</v>
      </c>
      <c r="X337" s="62"/>
    </row>
    <row r="338" spans="1:27">
      <c r="A338" s="111" t="s">
        <v>72</v>
      </c>
      <c r="B338" s="100"/>
      <c r="C338" s="114">
        <f t="shared" si="100"/>
        <v>0</v>
      </c>
      <c r="D338" s="122">
        <f t="shared" si="100"/>
        <v>0</v>
      </c>
      <c r="E338" s="114">
        <f t="shared" si="100"/>
        <v>0</v>
      </c>
      <c r="F338" s="115">
        <f t="shared" si="100"/>
        <v>0</v>
      </c>
      <c r="G338" s="115">
        <f t="shared" si="100"/>
        <v>0</v>
      </c>
      <c r="H338" s="115">
        <f t="shared" si="100"/>
        <v>0</v>
      </c>
      <c r="I338" s="115">
        <f t="shared" si="100"/>
        <v>0</v>
      </c>
      <c r="J338" s="81">
        <f t="shared" si="100"/>
        <v>0</v>
      </c>
      <c r="K338" s="115">
        <f t="shared" si="100"/>
        <v>0</v>
      </c>
      <c r="L338" s="130">
        <f t="shared" si="100"/>
        <v>0</v>
      </c>
      <c r="M338" s="130">
        <f t="shared" si="100"/>
        <v>0</v>
      </c>
      <c r="N338" s="115">
        <f t="shared" si="100"/>
        <v>0</v>
      </c>
      <c r="P338" t="s">
        <v>72</v>
      </c>
      <c r="Q338" s="100"/>
      <c r="R338" s="70">
        <f>SUM(C338:E338)</f>
        <v>0</v>
      </c>
      <c r="S338" s="70">
        <f>SUM(F338:H338)</f>
        <v>0</v>
      </c>
      <c r="T338" s="70">
        <f>SUM(I338:K338)</f>
        <v>0</v>
      </c>
      <c r="U338" s="70">
        <f>SUM(L338:N338)</f>
        <v>0</v>
      </c>
      <c r="V338" s="70">
        <f t="shared" si="105"/>
        <v>0</v>
      </c>
      <c r="X338" s="62"/>
    </row>
    <row r="339" spans="1:27">
      <c r="A339" t="s">
        <v>73</v>
      </c>
      <c r="B339" s="100" t="s">
        <v>74</v>
      </c>
      <c r="C339" s="114">
        <f t="shared" si="100"/>
        <v>0</v>
      </c>
      <c r="D339" s="122">
        <f t="shared" si="100"/>
        <v>0</v>
      </c>
      <c r="E339" s="114">
        <f t="shared" si="100"/>
        <v>0</v>
      </c>
      <c r="F339" s="115">
        <f t="shared" si="100"/>
        <v>0</v>
      </c>
      <c r="G339" s="115">
        <f t="shared" si="100"/>
        <v>0</v>
      </c>
      <c r="H339" s="115">
        <f t="shared" si="100"/>
        <v>0</v>
      </c>
      <c r="I339" s="115">
        <f t="shared" si="100"/>
        <v>0</v>
      </c>
      <c r="J339" s="81">
        <f t="shared" si="100"/>
        <v>0</v>
      </c>
      <c r="K339" s="115">
        <f t="shared" si="100"/>
        <v>0</v>
      </c>
      <c r="L339" s="130">
        <f t="shared" si="100"/>
        <v>0</v>
      </c>
      <c r="M339" s="130">
        <f t="shared" si="100"/>
        <v>0</v>
      </c>
      <c r="N339" s="115">
        <f t="shared" si="100"/>
        <v>0</v>
      </c>
      <c r="P339" t="s">
        <v>73</v>
      </c>
      <c r="Q339" s="100" t="s">
        <v>74</v>
      </c>
      <c r="R339" s="70">
        <f t="shared" si="101"/>
        <v>0</v>
      </c>
      <c r="S339" s="70">
        <f t="shared" si="102"/>
        <v>0</v>
      </c>
      <c r="T339" s="70">
        <f t="shared" si="103"/>
        <v>0</v>
      </c>
      <c r="U339" s="70">
        <f t="shared" si="104"/>
        <v>0</v>
      </c>
      <c r="V339" s="70">
        <f t="shared" si="105"/>
        <v>0</v>
      </c>
      <c r="X339" s="62"/>
    </row>
    <row r="340" spans="1:27">
      <c r="A340" t="s">
        <v>75</v>
      </c>
      <c r="B340" s="100" t="s">
        <v>76</v>
      </c>
      <c r="C340" s="114">
        <f t="shared" si="100"/>
        <v>0</v>
      </c>
      <c r="D340" s="122">
        <f t="shared" si="100"/>
        <v>0</v>
      </c>
      <c r="E340" s="114">
        <f t="shared" si="100"/>
        <v>0</v>
      </c>
      <c r="F340" s="115">
        <f t="shared" si="100"/>
        <v>0</v>
      </c>
      <c r="G340" s="115">
        <f t="shared" si="100"/>
        <v>0</v>
      </c>
      <c r="H340" s="115">
        <f t="shared" si="100"/>
        <v>0</v>
      </c>
      <c r="I340" s="115">
        <f t="shared" si="100"/>
        <v>0</v>
      </c>
      <c r="J340" s="81">
        <f t="shared" si="100"/>
        <v>0</v>
      </c>
      <c r="K340" s="115">
        <f t="shared" si="100"/>
        <v>0</v>
      </c>
      <c r="L340" s="130">
        <f t="shared" si="100"/>
        <v>0</v>
      </c>
      <c r="M340" s="130">
        <f t="shared" si="100"/>
        <v>0</v>
      </c>
      <c r="N340" s="115">
        <f t="shared" si="100"/>
        <v>0</v>
      </c>
      <c r="P340" t="s">
        <v>75</v>
      </c>
      <c r="Q340" s="100" t="s">
        <v>76</v>
      </c>
      <c r="R340" s="70">
        <f t="shared" si="101"/>
        <v>0</v>
      </c>
      <c r="S340" s="70">
        <f t="shared" si="102"/>
        <v>0</v>
      </c>
      <c r="T340" s="70">
        <f t="shared" si="103"/>
        <v>0</v>
      </c>
      <c r="U340" s="70">
        <f t="shared" si="104"/>
        <v>0</v>
      </c>
      <c r="V340" s="70">
        <f t="shared" si="105"/>
        <v>0</v>
      </c>
      <c r="X340" s="62"/>
    </row>
    <row r="341" spans="1:27">
      <c r="A341" t="s">
        <v>77</v>
      </c>
      <c r="B341" s="100" t="s">
        <v>78</v>
      </c>
      <c r="C341" s="114">
        <f t="shared" si="100"/>
        <v>2112242.9699999997</v>
      </c>
      <c r="D341" s="122">
        <f t="shared" si="100"/>
        <v>1873168.42</v>
      </c>
      <c r="E341" s="114">
        <f t="shared" si="100"/>
        <v>1779168.2</v>
      </c>
      <c r="F341" s="115">
        <f t="shared" si="100"/>
        <v>1585552.1</v>
      </c>
      <c r="G341" s="115">
        <f t="shared" si="100"/>
        <v>1665680.1900000002</v>
      </c>
      <c r="H341" s="130">
        <f t="shared" si="100"/>
        <v>1189942.9700000002</v>
      </c>
      <c r="I341" s="115">
        <f t="shared" si="100"/>
        <v>1451100.1800000002</v>
      </c>
      <c r="J341" s="81">
        <f t="shared" si="100"/>
        <v>1571039.0999999999</v>
      </c>
      <c r="K341" s="115">
        <f t="shared" si="100"/>
        <v>1450786.73</v>
      </c>
      <c r="L341" s="130">
        <f t="shared" si="100"/>
        <v>1347781.13</v>
      </c>
      <c r="M341" s="130">
        <f t="shared" si="100"/>
        <v>1240487.6299999999</v>
      </c>
      <c r="N341" s="115">
        <f t="shared" si="100"/>
        <v>1295853.75</v>
      </c>
      <c r="P341" t="s">
        <v>77</v>
      </c>
      <c r="Q341" s="100" t="s">
        <v>78</v>
      </c>
      <c r="R341" s="70">
        <f t="shared" si="101"/>
        <v>5764579.5899999999</v>
      </c>
      <c r="S341" s="70">
        <f t="shared" si="102"/>
        <v>4441175.26</v>
      </c>
      <c r="T341" s="70">
        <f t="shared" si="103"/>
        <v>4472926.01</v>
      </c>
      <c r="U341" s="70">
        <f t="shared" si="104"/>
        <v>3884122.51</v>
      </c>
      <c r="V341" s="70">
        <f t="shared" si="105"/>
        <v>18562803.369999997</v>
      </c>
      <c r="X341" s="62"/>
    </row>
    <row r="342" spans="1:27">
      <c r="A342" t="s">
        <v>79</v>
      </c>
      <c r="B342" s="100" t="s">
        <v>80</v>
      </c>
      <c r="C342" s="114">
        <f t="shared" si="100"/>
        <v>321352.52999999997</v>
      </c>
      <c r="D342" s="122">
        <f t="shared" si="100"/>
        <v>334278.06000000006</v>
      </c>
      <c r="E342" s="114">
        <f t="shared" si="100"/>
        <v>333280.22000000009</v>
      </c>
      <c r="F342" s="115">
        <f t="shared" si="100"/>
        <v>328806.00000000006</v>
      </c>
      <c r="G342" s="115">
        <f t="shared" si="100"/>
        <v>332455.86</v>
      </c>
      <c r="H342" s="130">
        <f t="shared" si="100"/>
        <v>351745.61999999994</v>
      </c>
      <c r="I342" s="115">
        <f t="shared" si="100"/>
        <v>368544.19</v>
      </c>
      <c r="J342" s="81">
        <f t="shared" si="100"/>
        <v>367599.03000000009</v>
      </c>
      <c r="K342" s="115">
        <f t="shared" si="100"/>
        <v>371995.89000000007</v>
      </c>
      <c r="L342" s="130">
        <f t="shared" si="100"/>
        <v>335629.07999999996</v>
      </c>
      <c r="M342" s="130">
        <f t="shared" si="100"/>
        <v>343631.82000000007</v>
      </c>
      <c r="N342" s="115">
        <f t="shared" si="100"/>
        <v>347196.15999999997</v>
      </c>
      <c r="P342" t="s">
        <v>79</v>
      </c>
      <c r="Q342" s="100" t="s">
        <v>80</v>
      </c>
      <c r="R342" s="70">
        <f t="shared" si="101"/>
        <v>988910.81000000017</v>
      </c>
      <c r="S342" s="70">
        <f t="shared" si="102"/>
        <v>1013007.48</v>
      </c>
      <c r="T342" s="70">
        <f t="shared" si="103"/>
        <v>1108139.1100000001</v>
      </c>
      <c r="U342" s="70">
        <f t="shared" si="104"/>
        <v>1026457.06</v>
      </c>
      <c r="V342" s="70">
        <f t="shared" si="105"/>
        <v>4136514.4600000009</v>
      </c>
      <c r="X342" s="62"/>
    </row>
    <row r="343" spans="1:27">
      <c r="A343" t="s">
        <v>81</v>
      </c>
      <c r="B343" s="100" t="s">
        <v>82</v>
      </c>
      <c r="C343" s="114">
        <f t="shared" si="100"/>
        <v>952193.39</v>
      </c>
      <c r="D343" s="122">
        <f t="shared" si="100"/>
        <v>947773.77000000014</v>
      </c>
      <c r="E343" s="114">
        <f t="shared" si="100"/>
        <v>963038.4099999998</v>
      </c>
      <c r="F343" s="115">
        <f t="shared" si="100"/>
        <v>899569.92999999982</v>
      </c>
      <c r="G343" s="115">
        <f t="shared" si="100"/>
        <v>895932.59999999986</v>
      </c>
      <c r="H343" s="130">
        <f t="shared" si="100"/>
        <v>1006603.65</v>
      </c>
      <c r="I343" s="115">
        <f t="shared" si="100"/>
        <v>1153458.0299999998</v>
      </c>
      <c r="J343" s="81">
        <f t="shared" si="100"/>
        <v>1101125.75</v>
      </c>
      <c r="K343" s="115">
        <f t="shared" si="100"/>
        <v>1139818.54</v>
      </c>
      <c r="L343" s="130">
        <f t="shared" si="100"/>
        <v>987858.34999999986</v>
      </c>
      <c r="M343" s="130">
        <f t="shared" si="100"/>
        <v>924573.26</v>
      </c>
      <c r="N343" s="115">
        <f t="shared" si="100"/>
        <v>985220.71</v>
      </c>
      <c r="P343" t="s">
        <v>81</v>
      </c>
      <c r="Q343" s="100" t="s">
        <v>82</v>
      </c>
      <c r="R343" s="70">
        <f t="shared" si="101"/>
        <v>2863005.57</v>
      </c>
      <c r="S343" s="70">
        <f t="shared" si="102"/>
        <v>2802106.1799999997</v>
      </c>
      <c r="T343" s="70">
        <f t="shared" si="103"/>
        <v>3394402.32</v>
      </c>
      <c r="U343" s="70">
        <f t="shared" si="104"/>
        <v>2897652.32</v>
      </c>
      <c r="V343" s="70">
        <f t="shared" si="105"/>
        <v>11957166.390000001</v>
      </c>
      <c r="X343" s="62"/>
    </row>
    <row r="344" spans="1:27">
      <c r="A344" t="s">
        <v>83</v>
      </c>
      <c r="B344" s="100" t="s">
        <v>84</v>
      </c>
      <c r="C344" s="135">
        <f t="shared" si="100"/>
        <v>28623.33</v>
      </c>
      <c r="D344" s="134">
        <f t="shared" si="100"/>
        <v>35791.819999999992</v>
      </c>
      <c r="E344" s="135">
        <f t="shared" si="100"/>
        <v>37282.659999999996</v>
      </c>
      <c r="F344" s="135">
        <f t="shared" si="100"/>
        <v>24628.120000000003</v>
      </c>
      <c r="G344" s="135">
        <f t="shared" si="100"/>
        <v>23565.93</v>
      </c>
      <c r="H344" s="134">
        <f t="shared" si="100"/>
        <v>26492.220000000008</v>
      </c>
      <c r="I344" s="135">
        <f t="shared" si="100"/>
        <v>30271.030000000006</v>
      </c>
      <c r="J344" s="83">
        <f t="shared" si="100"/>
        <v>28782.13</v>
      </c>
      <c r="K344" s="135">
        <f t="shared" si="100"/>
        <v>32875.140000000007</v>
      </c>
      <c r="L344" s="134">
        <f t="shared" si="100"/>
        <v>30040.510000000002</v>
      </c>
      <c r="M344" s="134">
        <f t="shared" si="100"/>
        <v>31444.910000000003</v>
      </c>
      <c r="N344" s="135">
        <f t="shared" si="100"/>
        <v>27641.410000000003</v>
      </c>
      <c r="P344" t="s">
        <v>83</v>
      </c>
      <c r="Q344" s="100" t="s">
        <v>84</v>
      </c>
      <c r="R344" s="73">
        <f t="shared" si="101"/>
        <v>101697.81</v>
      </c>
      <c r="S344" s="73">
        <f t="shared" si="102"/>
        <v>74686.270000000019</v>
      </c>
      <c r="T344" s="73">
        <f t="shared" si="103"/>
        <v>91928.300000000017</v>
      </c>
      <c r="U344" s="73">
        <f t="shared" si="104"/>
        <v>89126.830000000016</v>
      </c>
      <c r="V344" s="73">
        <f t="shared" si="105"/>
        <v>357439.21000000008</v>
      </c>
      <c r="X344" s="62"/>
    </row>
    <row r="345" spans="1:27">
      <c r="A345" s="103" t="s">
        <v>85</v>
      </c>
      <c r="C345" s="115">
        <f t="shared" si="100"/>
        <v>51200126.75</v>
      </c>
      <c r="D345" s="114">
        <f t="shared" si="100"/>
        <v>45416573.979999997</v>
      </c>
      <c r="E345" s="114">
        <f t="shared" si="100"/>
        <v>44326247.499999993</v>
      </c>
      <c r="F345" s="115">
        <f t="shared" si="100"/>
        <v>35526314.379999995</v>
      </c>
      <c r="G345" s="115">
        <f t="shared" si="100"/>
        <v>39469516.340000004</v>
      </c>
      <c r="H345" s="115">
        <f t="shared" si="100"/>
        <v>47629354.470000006</v>
      </c>
      <c r="I345" s="115">
        <f t="shared" si="100"/>
        <v>58005981.340000004</v>
      </c>
      <c r="J345" s="81">
        <f t="shared" si="100"/>
        <v>55418906.309999995</v>
      </c>
      <c r="K345" s="115">
        <f t="shared" si="100"/>
        <v>52174747.299999997</v>
      </c>
      <c r="L345" s="115">
        <f t="shared" si="100"/>
        <v>40003986.420000002</v>
      </c>
      <c r="M345" s="130">
        <f t="shared" si="100"/>
        <v>42976930.270000011</v>
      </c>
      <c r="N345" s="115">
        <f t="shared" si="100"/>
        <v>45407166.719999999</v>
      </c>
      <c r="P345" s="106" t="s">
        <v>85</v>
      </c>
      <c r="R345" s="70">
        <f t="shared" si="101"/>
        <v>140942948.22999999</v>
      </c>
      <c r="S345" s="70">
        <f t="shared" si="102"/>
        <v>122625185.19</v>
      </c>
      <c r="T345" s="70">
        <f t="shared" si="103"/>
        <v>165599634.94999999</v>
      </c>
      <c r="U345" s="70">
        <f t="shared" si="104"/>
        <v>128388083.41000001</v>
      </c>
      <c r="V345" s="70">
        <f t="shared" si="105"/>
        <v>557555851.78000009</v>
      </c>
      <c r="X345" s="62"/>
    </row>
    <row r="346" spans="1:27" ht="15.75" thickBot="1">
      <c r="A346" s="103" t="s">
        <v>86</v>
      </c>
      <c r="C346" s="143">
        <f t="shared" si="100"/>
        <v>49087883.780000001</v>
      </c>
      <c r="D346" s="144">
        <f>D65+D135+D205+D275</f>
        <v>43543405.559999995</v>
      </c>
      <c r="E346" s="118">
        <f t="shared" si="100"/>
        <v>42547079.299999997</v>
      </c>
      <c r="F346" s="144">
        <f t="shared" si="100"/>
        <v>33940762.279999994</v>
      </c>
      <c r="G346" s="143">
        <f t="shared" si="100"/>
        <v>37803836.150000006</v>
      </c>
      <c r="H346" s="118">
        <f t="shared" si="100"/>
        <v>46439411.5</v>
      </c>
      <c r="I346" s="144">
        <f t="shared" si="100"/>
        <v>56554881.160000004</v>
      </c>
      <c r="J346" s="97">
        <f t="shared" si="100"/>
        <v>53847867.209999993</v>
      </c>
      <c r="K346" s="118">
        <f t="shared" si="100"/>
        <v>50723960.569999993</v>
      </c>
      <c r="L346" s="145">
        <f t="shared" si="100"/>
        <v>38656205.289999999</v>
      </c>
      <c r="M346" s="144">
        <f t="shared" si="100"/>
        <v>41736442.640000008</v>
      </c>
      <c r="N346" s="118">
        <f t="shared" si="100"/>
        <v>44111312.969999991</v>
      </c>
      <c r="P346" s="106" t="s">
        <v>86</v>
      </c>
      <c r="R346" s="75">
        <f t="shared" si="101"/>
        <v>135178368.63999999</v>
      </c>
      <c r="S346" s="75">
        <f t="shared" si="102"/>
        <v>118184009.93000001</v>
      </c>
      <c r="T346" s="75">
        <f t="shared" si="103"/>
        <v>161126708.94</v>
      </c>
      <c r="U346" s="75">
        <f t="shared" si="104"/>
        <v>124503960.90000001</v>
      </c>
      <c r="V346" s="75">
        <f>SUM(C346:N346)</f>
        <v>538993048.40999997</v>
      </c>
      <c r="X346" s="62"/>
      <c r="AA346" s="96"/>
    </row>
    <row r="347" spans="1:27" ht="15.75" thickTop="1">
      <c r="A347" s="106"/>
      <c r="C347" s="115"/>
      <c r="D347" s="114"/>
      <c r="E347" s="114"/>
      <c r="F347" s="115"/>
      <c r="G347" s="115"/>
      <c r="H347" s="115"/>
      <c r="I347" s="115"/>
      <c r="J347" s="68"/>
      <c r="K347" s="115"/>
      <c r="L347" s="115"/>
      <c r="M347" s="115"/>
      <c r="N347" s="115"/>
      <c r="P347" s="106"/>
      <c r="R347" s="70"/>
      <c r="S347" s="70"/>
      <c r="T347" s="70"/>
      <c r="U347" s="70"/>
      <c r="V347" s="70"/>
      <c r="X347" s="62"/>
      <c r="AA347" s="96"/>
    </row>
    <row r="348" spans="1:27">
      <c r="A348" t="s">
        <v>89</v>
      </c>
      <c r="B348" t="s">
        <v>90</v>
      </c>
      <c r="C348" s="115">
        <f>C67+C137+C207+C277</f>
        <v>2812790</v>
      </c>
      <c r="D348" s="114">
        <f t="shared" ref="D348:N348" si="106">D67+D137+D207+D277</f>
        <v>-1460933</v>
      </c>
      <c r="E348" s="114">
        <f t="shared" si="106"/>
        <v>-2151780</v>
      </c>
      <c r="F348" s="115">
        <f t="shared" si="106"/>
        <v>-3026137</v>
      </c>
      <c r="G348" s="115">
        <f t="shared" si="106"/>
        <v>1016209</v>
      </c>
      <c r="H348" s="115">
        <f>H67+H137+H207+H277</f>
        <v>2528109</v>
      </c>
      <c r="I348" s="115">
        <f t="shared" si="106"/>
        <v>3714583</v>
      </c>
      <c r="J348" s="81">
        <f t="shared" si="106"/>
        <v>-132023</v>
      </c>
      <c r="K348" s="115">
        <f t="shared" si="106"/>
        <v>-2391778</v>
      </c>
      <c r="L348" s="115">
        <f t="shared" si="106"/>
        <v>-2344336</v>
      </c>
      <c r="M348" s="115">
        <f t="shared" si="106"/>
        <v>1044186</v>
      </c>
      <c r="N348" s="115">
        <f t="shared" si="106"/>
        <v>770335</v>
      </c>
      <c r="P348" t="s">
        <v>96</v>
      </c>
      <c r="Q348" t="s">
        <v>90</v>
      </c>
      <c r="R348" s="70">
        <f t="shared" si="101"/>
        <v>-799923</v>
      </c>
      <c r="S348" s="70">
        <f t="shared" si="102"/>
        <v>518181</v>
      </c>
      <c r="T348" s="70">
        <f t="shared" si="103"/>
        <v>1190782</v>
      </c>
      <c r="U348" s="70">
        <f t="shared" si="104"/>
        <v>-529815</v>
      </c>
      <c r="V348" s="70">
        <f t="shared" si="105"/>
        <v>379225</v>
      </c>
      <c r="X348" s="62"/>
    </row>
    <row r="349" spans="1:27">
      <c r="A349" s="106"/>
      <c r="B349" t="s">
        <v>92</v>
      </c>
      <c r="C349" s="115">
        <f t="shared" ref="C349:N351" si="107">C68+C138+C208+C278</f>
        <v>1362316</v>
      </c>
      <c r="D349" s="114">
        <f t="shared" si="107"/>
        <v>-1292922</v>
      </c>
      <c r="E349" s="114">
        <f t="shared" si="107"/>
        <v>-1210928</v>
      </c>
      <c r="F349" s="115">
        <f t="shared" si="107"/>
        <v>-632865</v>
      </c>
      <c r="G349" s="115">
        <f t="shared" si="107"/>
        <v>1920792</v>
      </c>
      <c r="H349" s="115">
        <f>H68+H138+H208+H278</f>
        <v>1967253</v>
      </c>
      <c r="I349" s="115">
        <f t="shared" si="107"/>
        <v>1299088</v>
      </c>
      <c r="J349" s="81">
        <f t="shared" si="107"/>
        <v>-151749</v>
      </c>
      <c r="K349" s="115">
        <f t="shared" si="107"/>
        <v>-1358292</v>
      </c>
      <c r="L349" s="115">
        <f t="shared" si="107"/>
        <v>-2118091</v>
      </c>
      <c r="M349" s="115">
        <f t="shared" si="107"/>
        <v>894325</v>
      </c>
      <c r="N349" s="115">
        <f t="shared" si="107"/>
        <v>-186244</v>
      </c>
      <c r="P349" s="106" t="s">
        <v>97</v>
      </c>
      <c r="Q349" t="s">
        <v>92</v>
      </c>
      <c r="R349" s="70">
        <f t="shared" si="101"/>
        <v>-1141534</v>
      </c>
      <c r="S349" s="70">
        <f t="shared" si="102"/>
        <v>3255180</v>
      </c>
      <c r="T349" s="70">
        <f t="shared" si="103"/>
        <v>-210953</v>
      </c>
      <c r="U349" s="70">
        <f t="shared" si="104"/>
        <v>-1410010</v>
      </c>
      <c r="V349" s="70">
        <f t="shared" si="105"/>
        <v>492683</v>
      </c>
      <c r="X349" s="62"/>
    </row>
    <row r="350" spans="1:27">
      <c r="B350" t="s">
        <v>94</v>
      </c>
      <c r="C350" s="115">
        <f t="shared" si="107"/>
        <v>53025</v>
      </c>
      <c r="D350" s="114">
        <f t="shared" si="107"/>
        <v>-131488</v>
      </c>
      <c r="E350" s="114">
        <f t="shared" si="107"/>
        <v>-83145</v>
      </c>
      <c r="F350" s="115">
        <f t="shared" si="107"/>
        <v>-56816</v>
      </c>
      <c r="G350" s="115">
        <f t="shared" si="107"/>
        <v>305754</v>
      </c>
      <c r="H350" s="115">
        <f>H69+H139+H209+H279</f>
        <v>124998</v>
      </c>
      <c r="I350" s="115">
        <f t="shared" si="107"/>
        <v>66804</v>
      </c>
      <c r="J350" s="81">
        <f t="shared" si="107"/>
        <v>-6022</v>
      </c>
      <c r="K350" s="115">
        <f t="shared" si="107"/>
        <v>-234070</v>
      </c>
      <c r="L350" s="115">
        <f t="shared" si="107"/>
        <v>-58565</v>
      </c>
      <c r="M350" s="115">
        <f t="shared" si="107"/>
        <v>63664</v>
      </c>
      <c r="N350" s="115">
        <f t="shared" si="107"/>
        <v>-119081</v>
      </c>
      <c r="Q350" t="s">
        <v>94</v>
      </c>
      <c r="R350" s="70">
        <f t="shared" si="101"/>
        <v>-161608</v>
      </c>
      <c r="S350" s="70">
        <f t="shared" si="102"/>
        <v>373936</v>
      </c>
      <c r="T350" s="70">
        <f t="shared" si="103"/>
        <v>-173288</v>
      </c>
      <c r="U350" s="70">
        <f t="shared" si="104"/>
        <v>-113982</v>
      </c>
      <c r="V350" s="70">
        <f t="shared" si="105"/>
        <v>-74942</v>
      </c>
      <c r="X350" s="62"/>
    </row>
    <row r="351" spans="1:27">
      <c r="A351" t="s">
        <v>98</v>
      </c>
      <c r="C351" s="114">
        <f t="shared" si="107"/>
        <v>237891.86</v>
      </c>
      <c r="D351" s="114">
        <f t="shared" si="107"/>
        <v>177055.28</v>
      </c>
      <c r="E351" s="114">
        <f t="shared" si="107"/>
        <v>191462.62999999998</v>
      </c>
      <c r="F351" s="115">
        <f t="shared" si="107"/>
        <v>183094.03</v>
      </c>
      <c r="G351" s="115">
        <f t="shared" si="107"/>
        <v>164335.15999999997</v>
      </c>
      <c r="H351" s="115">
        <f>H70+H140+H210+H280</f>
        <v>131219</v>
      </c>
      <c r="I351" s="115">
        <f t="shared" si="107"/>
        <v>192080</v>
      </c>
      <c r="J351" s="81">
        <f t="shared" si="107"/>
        <v>168280.57</v>
      </c>
      <c r="K351" s="115">
        <f t="shared" si="107"/>
        <v>182586.8</v>
      </c>
      <c r="L351" s="115">
        <f t="shared" si="107"/>
        <v>239978.54</v>
      </c>
      <c r="M351" s="115">
        <f t="shared" si="107"/>
        <v>114143.53</v>
      </c>
      <c r="N351" s="115">
        <f t="shared" si="107"/>
        <v>0</v>
      </c>
      <c r="P351" t="s">
        <v>98</v>
      </c>
      <c r="R351" s="70">
        <f>SUM(C351:E351)</f>
        <v>606409.77</v>
      </c>
      <c r="S351" s="70">
        <f>SUM(F351:H351)</f>
        <v>478648.18999999994</v>
      </c>
      <c r="T351" s="70">
        <f>SUM(I351:K351)</f>
        <v>542947.37</v>
      </c>
      <c r="U351" s="70">
        <f>SUM(L351:N351)</f>
        <v>354122.07</v>
      </c>
      <c r="V351" s="70">
        <f>SUM(C351:N351)</f>
        <v>1982127.4000000001</v>
      </c>
      <c r="X351" s="62"/>
    </row>
    <row r="352" spans="1:27" ht="6.75" customHeight="1">
      <c r="C352" s="114"/>
      <c r="D352" s="114"/>
      <c r="E352" s="114"/>
      <c r="F352" s="114"/>
      <c r="G352" s="114"/>
      <c r="H352" s="115"/>
      <c r="I352" s="115"/>
      <c r="J352" s="81"/>
      <c r="K352" s="115"/>
      <c r="L352" s="115"/>
      <c r="M352" s="115"/>
      <c r="N352" s="115"/>
      <c r="R352" s="70"/>
      <c r="S352" s="70"/>
      <c r="T352" s="70"/>
      <c r="U352" s="70"/>
      <c r="V352" s="70"/>
      <c r="X352" s="62"/>
    </row>
    <row r="353" spans="1:4" hidden="1">
      <c r="A353" s="150" t="s">
        <v>112</v>
      </c>
      <c r="B353" s="99"/>
      <c r="C353" s="99"/>
      <c r="D353" s="99"/>
    </row>
  </sheetData>
  <mergeCells count="1">
    <mergeCell ref="L2:N2"/>
  </mergeCells>
  <printOptions horizontalCentered="1"/>
  <pageMargins left="0" right="0" top="0.5" bottom="0" header="0.5" footer="0"/>
  <pageSetup scale="58" orientation="landscape" blackAndWhite="1" cellComments="asDisplayed" r:id="rId1"/>
  <headerFooter alignWithMargins="0">
    <oddHeader xml:space="preserve">&amp;C&amp;"Arial,Bold"&amp;16Controller - Revenue
Customers, KWH, and Revenue (2019)&amp;R </oddHeader>
    <oddFooter>&amp;L&amp;D &amp;T
Prepared By Samantha Williamson&amp;C
&amp;R&amp;Z&amp;F&amp;A</oddFooter>
  </headerFooter>
  <rowBreaks count="4" manualBreakCount="4">
    <brk id="70" max="16383" man="1"/>
    <brk id="140" max="16383" man="1"/>
    <brk id="210" max="16383" man="1"/>
    <brk id="283" max="28" man="1"/>
  </rowBreaks>
  <colBreaks count="1" manualBreakCount="1">
    <brk id="15" max="3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Revenue Summary by Rate</vt:lpstr>
      <vt:lpstr> Monthly Unbilled </vt:lpstr>
      <vt:lpstr>Customers, KWH, and Revenues</vt:lpstr>
      <vt:lpstr>Sheet2</vt:lpstr>
      <vt:lpstr>'Customers, KWH, and Revenues'!Print_Area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Williamson</dc:creator>
  <cp:lastModifiedBy>Charlotte Emery</cp:lastModifiedBy>
  <cp:lastPrinted>2019-04-30T13:31:06Z</cp:lastPrinted>
  <dcterms:created xsi:type="dcterms:W3CDTF">2012-11-29T15:33:41Z</dcterms:created>
  <dcterms:modified xsi:type="dcterms:W3CDTF">2020-04-17T23:39:31Z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