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14 - Position Statement\Offers of Evidence\"/>
    </mc:Choice>
  </mc:AlternateContent>
  <bookViews>
    <workbookView xWindow="0" yWindow="0" windowWidth="28800" windowHeight="11745"/>
  </bookViews>
  <sheets>
    <sheet name="IS ADJ 14" sheetId="5" r:id="rId1"/>
    <sheet name="Customers" sheetId="4" r:id="rId2"/>
    <sheet name="WN Summary" sheetId="2" r:id="rId3"/>
    <sheet name="LTOutput" sheetId="3" r:id="rId4"/>
    <sheet name="RG" sheetId="6" r:id="rId5"/>
    <sheet name="CB" sheetId="7" r:id="rId6"/>
    <sheet name="SH" sheetId="8" r:id="rId7"/>
    <sheet name="GP" sheetId="9" r:id="rId8"/>
    <sheet name="TEB" sheetId="10" r:id="rId9"/>
    <sheet name="Bills Combined" sheetId="12" r:id="rId10"/>
    <sheet name="kWh Combined" sheetId="11" r:id="rId11"/>
  </sheets>
  <externalReferences>
    <externalReference r:id="rId12"/>
  </externalReferences>
  <definedNames>
    <definedName name="Column2">'[1]Import RSR by State'!$C$5:$C$544</definedName>
    <definedName name="Column5">'[1]Import RSR by State'!$F$5:$F$544</definedName>
    <definedName name="Column6">'[1]Import RSR by State'!$G$5:$G$544</definedName>
    <definedName name="Column7">'[1]Import RSR by State'!$H$5:$H$544</definedName>
    <definedName name="Column8">'[1]Import RSR by State'!$I$5:$I$544</definedName>
    <definedName name="Column9">'[1]Import RSR by State'!$J$5:$J$544</definedName>
    <definedName name="DataDate">'[1]Import RSR by State'!$I$1</definedName>
    <definedName name="_xlnm.Print_Area" localSheetId="1">Customers!$A$1:$V$93</definedName>
    <definedName name="_xlnm.Print_Area" localSheetId="3">LTOutput!$A$1:$AQ$27</definedName>
    <definedName name="_xlnm.Print_Titles" localSheetId="5">CB!$A:$C</definedName>
    <definedName name="_xlnm.Print_Titles" localSheetId="7">GP!$A:$B</definedName>
    <definedName name="_xlnm.Print_Titles" localSheetId="10">'kWh Combined'!$A:$F</definedName>
    <definedName name="_xlnm.Print_Titles" localSheetId="3">LTOutput!$A:$A,LTOutput!$1:$7</definedName>
    <definedName name="_xlnm.Print_Titles" localSheetId="4">RG!$A:$C</definedName>
    <definedName name="_xlnm.Print_Titles" localSheetId="6">SH!$A:$B</definedName>
    <definedName name="_xlnm.Print_Titles" localSheetId="8">TEB!$A:$B</definedName>
    <definedName name="_xlnm.Print_Titles" localSheetId="2">'WN Summary'!$9:$12</definedName>
  </definedNames>
  <calcPr calcId="152511"/>
</workbook>
</file>

<file path=xl/calcChain.xml><?xml version="1.0" encoding="utf-8"?>
<calcChain xmlns="http://schemas.openxmlformats.org/spreadsheetml/2006/main">
  <c r="N76" i="4" l="1"/>
  <c r="O76" i="4"/>
  <c r="P76" i="4"/>
  <c r="Q76" i="4"/>
  <c r="N65" i="4"/>
  <c r="O65" i="4"/>
  <c r="P65" i="4"/>
  <c r="Q65" i="4"/>
  <c r="N54" i="4"/>
  <c r="O54" i="4"/>
  <c r="P54" i="4"/>
  <c r="Q54" i="4"/>
  <c r="V90" i="4"/>
  <c r="V89" i="4"/>
  <c r="V88" i="4"/>
  <c r="V79" i="4"/>
  <c r="V78" i="4"/>
  <c r="V77" i="4"/>
  <c r="N43" i="4"/>
  <c r="N32" i="4"/>
  <c r="O32" i="4"/>
  <c r="P32" i="4"/>
  <c r="Q32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Q39" i="4" s="1"/>
  <c r="P33" i="4"/>
  <c r="P39" i="4" s="1"/>
  <c r="O33" i="4"/>
  <c r="O39" i="4" s="1"/>
  <c r="N33" i="4"/>
  <c r="S90" i="4"/>
  <c r="R90" i="4"/>
  <c r="S89" i="4"/>
  <c r="R89" i="4"/>
  <c r="S88" i="4"/>
  <c r="R88" i="4"/>
  <c r="S79" i="4"/>
  <c r="R79" i="4"/>
  <c r="S78" i="4"/>
  <c r="R78" i="4"/>
  <c r="S77" i="4"/>
  <c r="R77" i="4"/>
  <c r="S27" i="4"/>
  <c r="R27" i="4"/>
  <c r="S26" i="4"/>
  <c r="R26" i="4"/>
  <c r="S25" i="4"/>
  <c r="R25" i="4"/>
  <c r="S24" i="4"/>
  <c r="R24" i="4"/>
  <c r="S23" i="4"/>
  <c r="R23" i="4"/>
  <c r="S22" i="4"/>
  <c r="R22" i="4"/>
  <c r="S14" i="4"/>
  <c r="S13" i="4"/>
  <c r="S12" i="4"/>
  <c r="S11" i="4"/>
  <c r="R14" i="4"/>
  <c r="R13" i="4"/>
  <c r="R12" i="4"/>
  <c r="R11" i="4"/>
  <c r="N21" i="4"/>
  <c r="O21" i="4"/>
  <c r="O43" i="4" s="1"/>
  <c r="P21" i="4"/>
  <c r="P43" i="4" s="1"/>
  <c r="Q21" i="4"/>
  <c r="Q43" i="4" s="1"/>
  <c r="N17" i="4"/>
  <c r="O17" i="4"/>
  <c r="P17" i="4"/>
  <c r="Q17" i="4"/>
  <c r="P10" i="6" l="1"/>
  <c r="Q10" i="6"/>
  <c r="R10" i="6"/>
  <c r="S10" i="6"/>
  <c r="P15" i="6"/>
  <c r="Q15" i="6"/>
  <c r="R15" i="6"/>
  <c r="S15" i="6"/>
  <c r="P16" i="6"/>
  <c r="P14" i="6" s="1"/>
  <c r="P18" i="6" s="1"/>
  <c r="Q16" i="6"/>
  <c r="Q14" i="6" s="1"/>
  <c r="Q18" i="6" s="1"/>
  <c r="R16" i="6"/>
  <c r="R14" i="6" s="1"/>
  <c r="R18" i="6" s="1"/>
  <c r="S16" i="6"/>
  <c r="S19" i="6"/>
  <c r="P24" i="6"/>
  <c r="Q24" i="6"/>
  <c r="R24" i="6"/>
  <c r="S24" i="6"/>
  <c r="S28" i="6" s="1"/>
  <c r="S31" i="6" s="1"/>
  <c r="P25" i="6"/>
  <c r="P27" i="6" s="1"/>
  <c r="Q25" i="6"/>
  <c r="Q27" i="6" s="1"/>
  <c r="R25" i="6"/>
  <c r="R27" i="6" s="1"/>
  <c r="S25" i="6"/>
  <c r="S27" i="6"/>
  <c r="P28" i="6"/>
  <c r="Q28" i="6"/>
  <c r="R28" i="6"/>
  <c r="S30" i="6"/>
  <c r="P31" i="6"/>
  <c r="Q31" i="6"/>
  <c r="R31" i="6"/>
  <c r="P36" i="6"/>
  <c r="Q36" i="6"/>
  <c r="R36" i="6"/>
  <c r="S36" i="6"/>
  <c r="P10" i="7"/>
  <c r="Q10" i="7"/>
  <c r="R10" i="7"/>
  <c r="S10" i="7"/>
  <c r="Q11" i="7"/>
  <c r="Q12" i="7" s="1"/>
  <c r="Q41" i="7" s="1"/>
  <c r="P14" i="7"/>
  <c r="Q14" i="7"/>
  <c r="R14" i="7"/>
  <c r="S14" i="7"/>
  <c r="P15" i="7"/>
  <c r="Q15" i="7"/>
  <c r="R15" i="7"/>
  <c r="R18" i="7" s="1"/>
  <c r="S15" i="7"/>
  <c r="S18" i="7" s="1"/>
  <c r="P18" i="7"/>
  <c r="P17" i="7" s="1"/>
  <c r="Q18" i="7"/>
  <c r="Q17" i="7" s="1"/>
  <c r="P23" i="7"/>
  <c r="P27" i="7" s="1"/>
  <c r="P30" i="7" s="1"/>
  <c r="Q23" i="7"/>
  <c r="Q27" i="7" s="1"/>
  <c r="Q30" i="7" s="1"/>
  <c r="R23" i="7"/>
  <c r="S23" i="7"/>
  <c r="P24" i="7"/>
  <c r="Q24" i="7"/>
  <c r="R24" i="7"/>
  <c r="R26" i="7" s="1"/>
  <c r="S24" i="7"/>
  <c r="S26" i="7" s="1"/>
  <c r="P26" i="7"/>
  <c r="Q26" i="7"/>
  <c r="R27" i="7"/>
  <c r="S27" i="7"/>
  <c r="P29" i="7"/>
  <c r="Q29" i="7"/>
  <c r="R30" i="7"/>
  <c r="S30" i="7"/>
  <c r="P35" i="7"/>
  <c r="Q35" i="7"/>
  <c r="R35" i="7"/>
  <c r="S35" i="7"/>
  <c r="O10" i="8"/>
  <c r="P10" i="8"/>
  <c r="Q10" i="8"/>
  <c r="Q30" i="8" s="1"/>
  <c r="R10" i="8"/>
  <c r="R29" i="8" s="1"/>
  <c r="O11" i="8"/>
  <c r="O12" i="8" s="1"/>
  <c r="O41" i="8" s="1"/>
  <c r="O14" i="8"/>
  <c r="O18" i="8" s="1"/>
  <c r="P14" i="8"/>
  <c r="Q14" i="8"/>
  <c r="R14" i="8"/>
  <c r="O15" i="8"/>
  <c r="P15" i="8"/>
  <c r="P18" i="8" s="1"/>
  <c r="Q15" i="8"/>
  <c r="Q18" i="8" s="1"/>
  <c r="R15" i="8"/>
  <c r="R18" i="8" s="1"/>
  <c r="O23" i="8"/>
  <c r="O27" i="8" s="1"/>
  <c r="O30" i="8" s="1"/>
  <c r="P23" i="8"/>
  <c r="Q23" i="8"/>
  <c r="R23" i="8"/>
  <c r="O24" i="8"/>
  <c r="P24" i="8"/>
  <c r="P26" i="8" s="1"/>
  <c r="Q24" i="8"/>
  <c r="Q26" i="8" s="1"/>
  <c r="Q29" i="8" s="1"/>
  <c r="R24" i="8"/>
  <c r="R26" i="8" s="1"/>
  <c r="O26" i="8"/>
  <c r="P27" i="8"/>
  <c r="Q27" i="8"/>
  <c r="R27" i="8"/>
  <c r="O29" i="8"/>
  <c r="O35" i="8"/>
  <c r="P35" i="8"/>
  <c r="Q35" i="8"/>
  <c r="R35" i="8"/>
  <c r="O10" i="9"/>
  <c r="P10" i="9"/>
  <c r="Q10" i="9"/>
  <c r="Q27" i="9" s="1"/>
  <c r="R10" i="9"/>
  <c r="O16" i="9"/>
  <c r="P16" i="9"/>
  <c r="Q16" i="9"/>
  <c r="R16" i="9"/>
  <c r="R19" i="9" s="1"/>
  <c r="R21" i="9" s="1"/>
  <c r="O17" i="9"/>
  <c r="O24" i="9" s="1"/>
  <c r="O28" i="9" s="1"/>
  <c r="P17" i="9"/>
  <c r="P24" i="9" s="1"/>
  <c r="P28" i="9" s="1"/>
  <c r="Q17" i="9"/>
  <c r="R17" i="9"/>
  <c r="P23" i="9"/>
  <c r="P27" i="9" s="1"/>
  <c r="Q23" i="9"/>
  <c r="R23" i="9"/>
  <c r="Q24" i="9"/>
  <c r="Q28" i="9" s="1"/>
  <c r="R24" i="9"/>
  <c r="R28" i="9" s="1"/>
  <c r="P25" i="9"/>
  <c r="P29" i="9" s="1"/>
  <c r="Q25" i="9"/>
  <c r="R25" i="9"/>
  <c r="R27" i="9"/>
  <c r="R29" i="9"/>
  <c r="O45" i="9"/>
  <c r="P45" i="9"/>
  <c r="Q45" i="9"/>
  <c r="R45" i="9"/>
  <c r="P83" i="2"/>
  <c r="R78" i="2"/>
  <c r="Q78" i="2"/>
  <c r="P78" i="2"/>
  <c r="O78" i="2"/>
  <c r="R75" i="2"/>
  <c r="R80" i="2" s="1"/>
  <c r="Q75" i="2"/>
  <c r="Q80" i="2" s="1"/>
  <c r="P75" i="2"/>
  <c r="P80" i="2" s="1"/>
  <c r="O75" i="2"/>
  <c r="O80" i="2" s="1"/>
  <c r="R71" i="2"/>
  <c r="Q71" i="2"/>
  <c r="P71" i="2"/>
  <c r="O71" i="2"/>
  <c r="R68" i="2"/>
  <c r="Q48" i="4" s="1"/>
  <c r="Q68" i="2"/>
  <c r="P48" i="4" s="1"/>
  <c r="P68" i="2"/>
  <c r="O48" i="4" s="1"/>
  <c r="O68" i="2"/>
  <c r="S66" i="2"/>
  <c r="R64" i="2"/>
  <c r="Q64" i="2"/>
  <c r="Q11" i="10" s="1"/>
  <c r="Q12" i="10" s="1"/>
  <c r="P64" i="2"/>
  <c r="O64" i="2"/>
  <c r="O11" i="10" s="1"/>
  <c r="S63" i="2"/>
  <c r="R59" i="2"/>
  <c r="Q59" i="2"/>
  <c r="P59" i="2"/>
  <c r="O59" i="2"/>
  <c r="R56" i="2"/>
  <c r="Q46" i="4" s="1"/>
  <c r="Q56" i="2"/>
  <c r="P46" i="4" s="1"/>
  <c r="P56" i="2"/>
  <c r="O46" i="4" s="1"/>
  <c r="O56" i="2"/>
  <c r="S54" i="2"/>
  <c r="R52" i="2"/>
  <c r="R11" i="8" s="1"/>
  <c r="R12" i="8" s="1"/>
  <c r="R41" i="8" s="1"/>
  <c r="Q52" i="2"/>
  <c r="Q11" i="8" s="1"/>
  <c r="Q12" i="8" s="1"/>
  <c r="Q41" i="8" s="1"/>
  <c r="P52" i="2"/>
  <c r="P11" i="8" s="1"/>
  <c r="P12" i="8" s="1"/>
  <c r="P41" i="8" s="1"/>
  <c r="O52" i="2"/>
  <c r="S51" i="2"/>
  <c r="R47" i="2"/>
  <c r="Q47" i="2"/>
  <c r="P47" i="2"/>
  <c r="O47" i="2"/>
  <c r="R44" i="2"/>
  <c r="Q47" i="4" s="1"/>
  <c r="Q44" i="2"/>
  <c r="P47" i="4" s="1"/>
  <c r="P44" i="2"/>
  <c r="O47" i="4" s="1"/>
  <c r="O44" i="2"/>
  <c r="S42" i="2"/>
  <c r="R40" i="2"/>
  <c r="R11" i="9" s="1"/>
  <c r="Q40" i="2"/>
  <c r="Q11" i="9" s="1"/>
  <c r="P40" i="2"/>
  <c r="P11" i="9" s="1"/>
  <c r="P12" i="9" s="1"/>
  <c r="O40" i="2"/>
  <c r="O11" i="9" s="1"/>
  <c r="S39" i="2"/>
  <c r="R35" i="2"/>
  <c r="Q35" i="2"/>
  <c r="P35" i="2"/>
  <c r="O35" i="2"/>
  <c r="R32" i="2"/>
  <c r="Q45" i="4" s="1"/>
  <c r="Q32" i="2"/>
  <c r="P45" i="4" s="1"/>
  <c r="P32" i="2"/>
  <c r="O45" i="4" s="1"/>
  <c r="O32" i="2"/>
  <c r="N45" i="4" s="1"/>
  <c r="S30" i="2"/>
  <c r="R28" i="2"/>
  <c r="S11" i="7" s="1"/>
  <c r="S12" i="7" s="1"/>
  <c r="S41" i="7" s="1"/>
  <c r="Q28" i="2"/>
  <c r="R11" i="7" s="1"/>
  <c r="R12" i="7" s="1"/>
  <c r="R41" i="7" s="1"/>
  <c r="P28" i="2"/>
  <c r="O28" i="2"/>
  <c r="S27" i="2"/>
  <c r="S18" i="2"/>
  <c r="S15" i="2"/>
  <c r="R23" i="2"/>
  <c r="R83" i="2" s="1"/>
  <c r="Q23" i="2"/>
  <c r="Q83" i="2" s="1"/>
  <c r="P23" i="2"/>
  <c r="O23" i="2"/>
  <c r="O83" i="2" s="1"/>
  <c r="R20" i="2"/>
  <c r="Q44" i="4" s="1"/>
  <c r="Q49" i="4" s="1"/>
  <c r="Q20" i="2"/>
  <c r="P44" i="4" s="1"/>
  <c r="P49" i="4" s="1"/>
  <c r="P20" i="2"/>
  <c r="O44" i="4" s="1"/>
  <c r="O20" i="2"/>
  <c r="N44" i="4" s="1"/>
  <c r="R16" i="2"/>
  <c r="S11" i="6" s="1"/>
  <c r="S12" i="6" s="1"/>
  <c r="Q16" i="2"/>
  <c r="R11" i="6" s="1"/>
  <c r="R12" i="6" s="1"/>
  <c r="P16" i="2"/>
  <c r="Q11" i="6" s="1"/>
  <c r="Q12" i="6" s="1"/>
  <c r="O16" i="2"/>
  <c r="O76" i="2" s="1"/>
  <c r="O81" i="2" s="1"/>
  <c r="O10" i="10"/>
  <c r="O29" i="10" s="1"/>
  <c r="P10" i="10"/>
  <c r="Q10" i="10"/>
  <c r="R10" i="10"/>
  <c r="P11" i="10"/>
  <c r="P12" i="10" s="1"/>
  <c r="R11" i="10"/>
  <c r="R14" i="10" s="1"/>
  <c r="O16" i="10"/>
  <c r="O19" i="10" s="1"/>
  <c r="O21" i="10" s="1"/>
  <c r="P16" i="10"/>
  <c r="Q16" i="10"/>
  <c r="R16" i="10"/>
  <c r="O17" i="10"/>
  <c r="P17" i="10"/>
  <c r="P19" i="10" s="1"/>
  <c r="Q17" i="10"/>
  <c r="Q19" i="10" s="1"/>
  <c r="Q21" i="10" s="1"/>
  <c r="R17" i="10"/>
  <c r="R19" i="10" s="1"/>
  <c r="O23" i="10"/>
  <c r="R23" i="10"/>
  <c r="O24" i="10"/>
  <c r="O25" i="10"/>
  <c r="R25" i="10"/>
  <c r="O28" i="10"/>
  <c r="O45" i="10"/>
  <c r="P45" i="10"/>
  <c r="Q45" i="10"/>
  <c r="R45" i="10"/>
  <c r="Y12" i="12"/>
  <c r="P17" i="8" l="1"/>
  <c r="P20" i="8" s="1"/>
  <c r="P21" i="8"/>
  <c r="O14" i="9"/>
  <c r="O12" i="9"/>
  <c r="P29" i="8"/>
  <c r="S17" i="7"/>
  <c r="S20" i="7" s="1"/>
  <c r="S21" i="7"/>
  <c r="S33" i="7" s="1"/>
  <c r="S39" i="7" s="1"/>
  <c r="Q67" i="4" s="1"/>
  <c r="Q33" i="9"/>
  <c r="Q39" i="9" s="1"/>
  <c r="S22" i="6"/>
  <c r="S34" i="6" s="1"/>
  <c r="S40" i="6" s="1"/>
  <c r="Q66" i="4" s="1"/>
  <c r="Q14" i="9"/>
  <c r="Q12" i="9"/>
  <c r="R14" i="9"/>
  <c r="R33" i="9" s="1"/>
  <c r="R39" i="9" s="1"/>
  <c r="R48" i="9" s="1"/>
  <c r="Q58" i="4" s="1"/>
  <c r="R12" i="9"/>
  <c r="O34" i="9"/>
  <c r="O40" i="9" s="1"/>
  <c r="O49" i="9" s="1"/>
  <c r="N69" i="4" s="1"/>
  <c r="R30" i="6"/>
  <c r="R33" i="6" s="1"/>
  <c r="Q17" i="8"/>
  <c r="Q20" i="8" s="1"/>
  <c r="Q21" i="8"/>
  <c r="Q33" i="8" s="1"/>
  <c r="Q39" i="8" s="1"/>
  <c r="P68" i="4" s="1"/>
  <c r="S29" i="7"/>
  <c r="Q34" i="9"/>
  <c r="Q40" i="9" s="1"/>
  <c r="Q49" i="9" s="1"/>
  <c r="P69" i="4" s="1"/>
  <c r="R31" i="9"/>
  <c r="R37" i="9" s="1"/>
  <c r="R52" i="9" s="1"/>
  <c r="Q91" i="4" s="1"/>
  <c r="Q93" i="4" s="1"/>
  <c r="O17" i="8"/>
  <c r="O20" i="8" s="1"/>
  <c r="O21" i="8"/>
  <c r="O33" i="8" s="1"/>
  <c r="O39" i="8" s="1"/>
  <c r="N68" i="4" s="1"/>
  <c r="Q30" i="6"/>
  <c r="R17" i="7"/>
  <c r="R20" i="7" s="1"/>
  <c r="R21" i="7"/>
  <c r="R33" i="7" s="1"/>
  <c r="R39" i="7" s="1"/>
  <c r="P67" i="4" s="1"/>
  <c r="R29" i="7"/>
  <c r="R32" i="7" s="1"/>
  <c r="R17" i="8"/>
  <c r="R20" i="8" s="1"/>
  <c r="R21" i="8"/>
  <c r="R33" i="8" s="1"/>
  <c r="R39" i="8" s="1"/>
  <c r="Q68" i="4" s="1"/>
  <c r="P30" i="6"/>
  <c r="Q20" i="7"/>
  <c r="R21" i="6"/>
  <c r="P76" i="2"/>
  <c r="P81" i="2" s="1"/>
  <c r="P27" i="10"/>
  <c r="P14" i="10"/>
  <c r="Q76" i="2"/>
  <c r="Q81" i="2" s="1"/>
  <c r="O25" i="9"/>
  <c r="O29" i="9" s="1"/>
  <c r="O35" i="9" s="1"/>
  <c r="O41" i="9" s="1"/>
  <c r="O50" i="9" s="1"/>
  <c r="N80" i="4" s="1"/>
  <c r="O23" i="9"/>
  <c r="O27" i="9" s="1"/>
  <c r="O33" i="9" s="1"/>
  <c r="P20" i="7"/>
  <c r="P11" i="7"/>
  <c r="P12" i="7" s="1"/>
  <c r="P41" i="7" s="1"/>
  <c r="Q21" i="6"/>
  <c r="Q33" i="6" s="1"/>
  <c r="O27" i="10"/>
  <c r="P23" i="10"/>
  <c r="R76" i="2"/>
  <c r="R81" i="2" s="1"/>
  <c r="R30" i="8"/>
  <c r="Q29" i="9"/>
  <c r="Q35" i="9" s="1"/>
  <c r="Q41" i="9" s="1"/>
  <c r="Q50" i="9" s="1"/>
  <c r="P80" i="4" s="1"/>
  <c r="P25" i="10"/>
  <c r="P29" i="10" s="1"/>
  <c r="P21" i="10"/>
  <c r="P31" i="10" s="1"/>
  <c r="P37" i="10" s="1"/>
  <c r="P52" i="10" s="1"/>
  <c r="O92" i="4" s="1"/>
  <c r="N47" i="4"/>
  <c r="N48" i="4"/>
  <c r="O19" i="9"/>
  <c r="O21" i="9" s="1"/>
  <c r="O31" i="9" s="1"/>
  <c r="O37" i="9" s="1"/>
  <c r="O52" i="9" s="1"/>
  <c r="N91" i="4" s="1"/>
  <c r="P30" i="8"/>
  <c r="Q21" i="7"/>
  <c r="Q33" i="7" s="1"/>
  <c r="Q39" i="7" s="1"/>
  <c r="O67" i="4" s="1"/>
  <c r="R19" i="6"/>
  <c r="R22" i="6" s="1"/>
  <c r="R34" i="6" s="1"/>
  <c r="R40" i="6" s="1"/>
  <c r="P66" i="4" s="1"/>
  <c r="P21" i="7"/>
  <c r="P33" i="7" s="1"/>
  <c r="P39" i="7" s="1"/>
  <c r="N67" i="4" s="1"/>
  <c r="Q19" i="6"/>
  <c r="Q22" i="6" s="1"/>
  <c r="Q34" i="6" s="1"/>
  <c r="Q40" i="6" s="1"/>
  <c r="O66" i="4" s="1"/>
  <c r="Q19" i="9"/>
  <c r="Q21" i="9" s="1"/>
  <c r="Q31" i="9" s="1"/>
  <c r="Q37" i="9" s="1"/>
  <c r="Q52" i="9" s="1"/>
  <c r="P91" i="4" s="1"/>
  <c r="P19" i="6"/>
  <c r="P11" i="6"/>
  <c r="P12" i="6" s="1"/>
  <c r="P21" i="6" s="1"/>
  <c r="P33" i="6" s="1"/>
  <c r="R24" i="10"/>
  <c r="R21" i="10"/>
  <c r="R31" i="10" s="1"/>
  <c r="R37" i="10" s="1"/>
  <c r="R52" i="10" s="1"/>
  <c r="Q92" i="4" s="1"/>
  <c r="P24" i="10"/>
  <c r="P28" i="10" s="1"/>
  <c r="P34" i="10" s="1"/>
  <c r="P40" i="10" s="1"/>
  <c r="P49" i="10" s="1"/>
  <c r="O70" i="4" s="1"/>
  <c r="O49" i="4"/>
  <c r="N46" i="4"/>
  <c r="P19" i="9"/>
  <c r="P21" i="9" s="1"/>
  <c r="S14" i="6"/>
  <c r="S18" i="6" s="1"/>
  <c r="S21" i="6" s="1"/>
  <c r="S33" i="6" s="1"/>
  <c r="Q43" i="9"/>
  <c r="Q25" i="10"/>
  <c r="Q29" i="10" s="1"/>
  <c r="Q24" i="10"/>
  <c r="Q28" i="10" s="1"/>
  <c r="Q23" i="10"/>
  <c r="Q27" i="10" s="1"/>
  <c r="S32" i="7"/>
  <c r="S36" i="7" s="1"/>
  <c r="S43" i="7" s="1"/>
  <c r="P32" i="8"/>
  <c r="O32" i="8"/>
  <c r="Q32" i="7"/>
  <c r="Q32" i="8"/>
  <c r="Q36" i="8" s="1"/>
  <c r="Q43" i="8" s="1"/>
  <c r="R32" i="8"/>
  <c r="P32" i="7"/>
  <c r="P38" i="7" s="1"/>
  <c r="N56" i="4" s="1"/>
  <c r="P36" i="7"/>
  <c r="P43" i="7" s="1"/>
  <c r="Q36" i="7"/>
  <c r="Q43" i="7" s="1"/>
  <c r="Q38" i="7"/>
  <c r="O56" i="4" s="1"/>
  <c r="O36" i="8"/>
  <c r="O43" i="8" s="1"/>
  <c r="O38" i="8"/>
  <c r="N57" i="4" s="1"/>
  <c r="R38" i="8"/>
  <c r="Q57" i="4" s="1"/>
  <c r="P14" i="9"/>
  <c r="O12" i="10"/>
  <c r="O14" i="10"/>
  <c r="R12" i="10"/>
  <c r="R29" i="10"/>
  <c r="R35" i="10" s="1"/>
  <c r="R41" i="10" s="1"/>
  <c r="R50" i="10" s="1"/>
  <c r="Q81" i="4" s="1"/>
  <c r="R28" i="10"/>
  <c r="R34" i="10" s="1"/>
  <c r="R40" i="10" s="1"/>
  <c r="R49" i="10" s="1"/>
  <c r="Q70" i="4" s="1"/>
  <c r="R27" i="10"/>
  <c r="R33" i="10" s="1"/>
  <c r="Q14" i="10"/>
  <c r="Y47" i="12"/>
  <c r="Y46" i="12"/>
  <c r="Y45" i="12"/>
  <c r="Y44" i="12"/>
  <c r="Y43" i="12"/>
  <c r="Y42" i="12"/>
  <c r="Y41" i="12"/>
  <c r="Y40" i="12"/>
  <c r="Y39" i="12"/>
  <c r="Y38" i="12"/>
  <c r="Y37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X47" i="12"/>
  <c r="X46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W32" i="11"/>
  <c r="W31" i="11"/>
  <c r="W30" i="11"/>
  <c r="W29" i="11"/>
  <c r="W28" i="11"/>
  <c r="W27" i="11"/>
  <c r="W26" i="11"/>
  <c r="W25" i="11"/>
  <c r="W17" i="11"/>
  <c r="W16" i="11"/>
  <c r="W15" i="11"/>
  <c r="W14" i="11"/>
  <c r="W13" i="11"/>
  <c r="W12" i="11"/>
  <c r="Q37" i="6" l="1"/>
  <c r="Q39" i="6"/>
  <c r="O55" i="4" s="1"/>
  <c r="P36" i="8"/>
  <c r="P43" i="8" s="1"/>
  <c r="R39" i="6"/>
  <c r="P55" i="4" s="1"/>
  <c r="R37" i="6"/>
  <c r="P39" i="6"/>
  <c r="N55" i="4" s="1"/>
  <c r="P37" i="6"/>
  <c r="R38" i="7"/>
  <c r="P56" i="4" s="1"/>
  <c r="R36" i="7"/>
  <c r="R43" i="7" s="1"/>
  <c r="S37" i="6"/>
  <c r="S39" i="6"/>
  <c r="Q55" i="4" s="1"/>
  <c r="N49" i="4"/>
  <c r="R34" i="9"/>
  <c r="R40" i="9" s="1"/>
  <c r="R49" i="9" s="1"/>
  <c r="Q69" i="4" s="1"/>
  <c r="Q71" i="4" s="1"/>
  <c r="P38" i="8"/>
  <c r="O57" i="4" s="1"/>
  <c r="P35" i="10"/>
  <c r="P41" i="10" s="1"/>
  <c r="P50" i="10" s="1"/>
  <c r="O81" i="4" s="1"/>
  <c r="P33" i="10"/>
  <c r="Q38" i="8"/>
  <c r="P57" i="4" s="1"/>
  <c r="S38" i="7"/>
  <c r="Q56" i="4" s="1"/>
  <c r="P33" i="8"/>
  <c r="P39" i="8" s="1"/>
  <c r="O68" i="4" s="1"/>
  <c r="R36" i="8"/>
  <c r="R43" i="8" s="1"/>
  <c r="P22" i="6"/>
  <c r="P34" i="6" s="1"/>
  <c r="P40" i="6" s="1"/>
  <c r="N66" i="4" s="1"/>
  <c r="O39" i="9"/>
  <c r="O43" i="9"/>
  <c r="R35" i="9"/>
  <c r="Q46" i="9"/>
  <c r="Q54" i="9" s="1"/>
  <c r="Q48" i="9"/>
  <c r="P58" i="4" s="1"/>
  <c r="P33" i="9"/>
  <c r="P34" i="9"/>
  <c r="P40" i="9" s="1"/>
  <c r="P49" i="9" s="1"/>
  <c r="O69" i="4" s="1"/>
  <c r="P35" i="9"/>
  <c r="P41" i="9" s="1"/>
  <c r="P50" i="9" s="1"/>
  <c r="O80" i="4" s="1"/>
  <c r="O82" i="4" s="1"/>
  <c r="P31" i="9"/>
  <c r="P37" i="9" s="1"/>
  <c r="P52" i="9" s="1"/>
  <c r="O91" i="4" s="1"/>
  <c r="R39" i="10"/>
  <c r="R43" i="10"/>
  <c r="O34" i="10"/>
  <c r="O40" i="10" s="1"/>
  <c r="O49" i="10" s="1"/>
  <c r="N70" i="4" s="1"/>
  <c r="N71" i="4" s="1"/>
  <c r="O33" i="10"/>
  <c r="O35" i="10"/>
  <c r="O41" i="10" s="1"/>
  <c r="O50" i="10" s="1"/>
  <c r="N81" i="4" s="1"/>
  <c r="N82" i="4" s="1"/>
  <c r="O31" i="10"/>
  <c r="O37" i="10" s="1"/>
  <c r="O52" i="10" s="1"/>
  <c r="N92" i="4" s="1"/>
  <c r="Q31" i="10"/>
  <c r="Q37" i="10" s="1"/>
  <c r="Q52" i="10" s="1"/>
  <c r="P92" i="4" s="1"/>
  <c r="Q33" i="10"/>
  <c r="Q34" i="10"/>
  <c r="Q40" i="10" s="1"/>
  <c r="Q49" i="10" s="1"/>
  <c r="P70" i="4" s="1"/>
  <c r="P71" i="4" s="1"/>
  <c r="Q35" i="10"/>
  <c r="Q41" i="10" s="1"/>
  <c r="Q50" i="10" s="1"/>
  <c r="P81" i="4" s="1"/>
  <c r="P82" i="4" s="1"/>
  <c r="U79" i="4"/>
  <c r="U78" i="4"/>
  <c r="U77" i="4"/>
  <c r="R43" i="9" l="1"/>
  <c r="R41" i="9"/>
  <c r="O71" i="4"/>
  <c r="O48" i="9"/>
  <c r="N58" i="4" s="1"/>
  <c r="O46" i="9"/>
  <c r="O54" i="9" s="1"/>
  <c r="P39" i="10"/>
  <c r="P43" i="10"/>
  <c r="N93" i="4"/>
  <c r="P93" i="4"/>
  <c r="O93" i="4"/>
  <c r="P39" i="9"/>
  <c r="P43" i="9"/>
  <c r="R48" i="10"/>
  <c r="Q59" i="4" s="1"/>
  <c r="R46" i="10"/>
  <c r="R54" i="10" s="1"/>
  <c r="O39" i="10"/>
  <c r="O43" i="10"/>
  <c r="Q39" i="10"/>
  <c r="Q43" i="10"/>
  <c r="V23" i="8"/>
  <c r="V24" i="8"/>
  <c r="M87" i="4"/>
  <c r="L87" i="4"/>
  <c r="K87" i="4"/>
  <c r="J87" i="4"/>
  <c r="I87" i="4"/>
  <c r="H87" i="4"/>
  <c r="G87" i="4"/>
  <c r="F87" i="4"/>
  <c r="E87" i="4"/>
  <c r="D87" i="4"/>
  <c r="C87" i="4"/>
  <c r="M76" i="4"/>
  <c r="L76" i="4"/>
  <c r="K76" i="4"/>
  <c r="J76" i="4"/>
  <c r="I76" i="4"/>
  <c r="H76" i="4"/>
  <c r="G76" i="4"/>
  <c r="F76" i="4"/>
  <c r="E76" i="4"/>
  <c r="D76" i="4"/>
  <c r="C76" i="4"/>
  <c r="M65" i="4"/>
  <c r="L65" i="4"/>
  <c r="K65" i="4"/>
  <c r="J65" i="4"/>
  <c r="I65" i="4"/>
  <c r="H65" i="4"/>
  <c r="G65" i="4"/>
  <c r="F65" i="4"/>
  <c r="E65" i="4"/>
  <c r="D65" i="4"/>
  <c r="C65" i="4"/>
  <c r="B87" i="4"/>
  <c r="B76" i="4"/>
  <c r="B65" i="4"/>
  <c r="O16" i="6"/>
  <c r="N16" i="6"/>
  <c r="M16" i="6"/>
  <c r="L16" i="6"/>
  <c r="K16" i="6"/>
  <c r="J16" i="6"/>
  <c r="I16" i="6"/>
  <c r="H16" i="6"/>
  <c r="G16" i="6"/>
  <c r="F16" i="6"/>
  <c r="E16" i="6"/>
  <c r="O15" i="6"/>
  <c r="N15" i="6"/>
  <c r="M15" i="6"/>
  <c r="L15" i="6"/>
  <c r="K15" i="6"/>
  <c r="J15" i="6"/>
  <c r="I15" i="6"/>
  <c r="H15" i="6"/>
  <c r="G15" i="6"/>
  <c r="F15" i="6"/>
  <c r="E15" i="6"/>
  <c r="D15" i="6"/>
  <c r="D16" i="6"/>
  <c r="E23" i="7"/>
  <c r="F23" i="7"/>
  <c r="G23" i="7"/>
  <c r="H23" i="7"/>
  <c r="I23" i="7"/>
  <c r="J23" i="7"/>
  <c r="K23" i="7"/>
  <c r="L23" i="7"/>
  <c r="M23" i="7"/>
  <c r="N23" i="7"/>
  <c r="O23" i="7"/>
  <c r="W23" i="7"/>
  <c r="X23" i="7"/>
  <c r="Y23" i="7"/>
  <c r="Z23" i="7"/>
  <c r="E24" i="7"/>
  <c r="F24" i="7"/>
  <c r="G24" i="7"/>
  <c r="H24" i="7"/>
  <c r="I24" i="7"/>
  <c r="J24" i="7"/>
  <c r="K24" i="7"/>
  <c r="L24" i="7"/>
  <c r="M24" i="7"/>
  <c r="N24" i="7"/>
  <c r="O24" i="7"/>
  <c r="W24" i="7"/>
  <c r="X24" i="7"/>
  <c r="Y24" i="7"/>
  <c r="Z24" i="7"/>
  <c r="D24" i="7"/>
  <c r="D23" i="7"/>
  <c r="E14" i="7"/>
  <c r="F14" i="7"/>
  <c r="G14" i="7"/>
  <c r="H14" i="7"/>
  <c r="I14" i="7"/>
  <c r="J14" i="7"/>
  <c r="K14" i="7"/>
  <c r="L14" i="7"/>
  <c r="M14" i="7"/>
  <c r="N14" i="7"/>
  <c r="O14" i="7"/>
  <c r="Y14" i="7"/>
  <c r="Z14" i="7"/>
  <c r="E15" i="7"/>
  <c r="F15" i="7"/>
  <c r="G15" i="7"/>
  <c r="H15" i="7"/>
  <c r="I15" i="7"/>
  <c r="J15" i="7"/>
  <c r="K15" i="7"/>
  <c r="L15" i="7"/>
  <c r="M15" i="7"/>
  <c r="N15" i="7"/>
  <c r="O15" i="7"/>
  <c r="Y15" i="7"/>
  <c r="Z15" i="7"/>
  <c r="D15" i="7"/>
  <c r="D14" i="7"/>
  <c r="D23" i="8"/>
  <c r="E23" i="8"/>
  <c r="F23" i="8"/>
  <c r="G23" i="8"/>
  <c r="H23" i="8"/>
  <c r="I23" i="8"/>
  <c r="J23" i="8"/>
  <c r="K23" i="8"/>
  <c r="L23" i="8"/>
  <c r="M23" i="8"/>
  <c r="N23" i="8"/>
  <c r="D24" i="8"/>
  <c r="E24" i="8"/>
  <c r="F24" i="8"/>
  <c r="G24" i="8"/>
  <c r="H24" i="8"/>
  <c r="I24" i="8"/>
  <c r="J24" i="8"/>
  <c r="K24" i="8"/>
  <c r="L24" i="8"/>
  <c r="M24" i="8"/>
  <c r="N24" i="8"/>
  <c r="C24" i="8"/>
  <c r="C23" i="8"/>
  <c r="D14" i="8"/>
  <c r="E14" i="8"/>
  <c r="F14" i="8"/>
  <c r="G14" i="8"/>
  <c r="H14" i="8"/>
  <c r="I14" i="8"/>
  <c r="J14" i="8"/>
  <c r="K14" i="8"/>
  <c r="L14" i="8"/>
  <c r="M14" i="8"/>
  <c r="N14" i="8"/>
  <c r="D15" i="8"/>
  <c r="E15" i="8"/>
  <c r="F15" i="8"/>
  <c r="G15" i="8"/>
  <c r="H15" i="8"/>
  <c r="I15" i="8"/>
  <c r="J15" i="8"/>
  <c r="K15" i="8"/>
  <c r="L15" i="8"/>
  <c r="M15" i="8"/>
  <c r="N15" i="8"/>
  <c r="C15" i="8"/>
  <c r="C14" i="8"/>
  <c r="AA47" i="12"/>
  <c r="Z47" i="12"/>
  <c r="Z46" i="12"/>
  <c r="AA46" i="12"/>
  <c r="Z45" i="12"/>
  <c r="Z44" i="12"/>
  <c r="AA44" i="12"/>
  <c r="AA43" i="12"/>
  <c r="Z43" i="12"/>
  <c r="Z42" i="12"/>
  <c r="AA42" i="12"/>
  <c r="Z41" i="12"/>
  <c r="Z40" i="12"/>
  <c r="AA40" i="12"/>
  <c r="AA39" i="12"/>
  <c r="Z39" i="12"/>
  <c r="Z38" i="12"/>
  <c r="AA38" i="12"/>
  <c r="Z37" i="12"/>
  <c r="AA36" i="12"/>
  <c r="Z36" i="12"/>
  <c r="AA35" i="12"/>
  <c r="Z35" i="12"/>
  <c r="Z34" i="12"/>
  <c r="AA34" i="12"/>
  <c r="Z33" i="12"/>
  <c r="AA33" i="12"/>
  <c r="AA32" i="12"/>
  <c r="Z32" i="12"/>
  <c r="AA31" i="12"/>
  <c r="Z31" i="12"/>
  <c r="Z30" i="12"/>
  <c r="AA30" i="12"/>
  <c r="Z29" i="12"/>
  <c r="AA29" i="12"/>
  <c r="AA28" i="12"/>
  <c r="Z28" i="12"/>
  <c r="AA27" i="12"/>
  <c r="Z27" i="12"/>
  <c r="Z26" i="12"/>
  <c r="AA26" i="12"/>
  <c r="Z25" i="12"/>
  <c r="AA25" i="12"/>
  <c r="AA24" i="12"/>
  <c r="Z24" i="12"/>
  <c r="AA23" i="12"/>
  <c r="Z23" i="12"/>
  <c r="Z22" i="12"/>
  <c r="AA22" i="12"/>
  <c r="Z21" i="12"/>
  <c r="AA21" i="12"/>
  <c r="AA20" i="12"/>
  <c r="Z20" i="12"/>
  <c r="AA19" i="12"/>
  <c r="Z19" i="12"/>
  <c r="Z18" i="12"/>
  <c r="AA18" i="12"/>
  <c r="Z17" i="12"/>
  <c r="AA17" i="12"/>
  <c r="AA16" i="12"/>
  <c r="Z16" i="12"/>
  <c r="AA15" i="12"/>
  <c r="X15" i="7" s="1"/>
  <c r="Z15" i="12"/>
  <c r="Z14" i="12"/>
  <c r="AA14" i="12"/>
  <c r="X14" i="7" s="1"/>
  <c r="Z13" i="12"/>
  <c r="AA13" i="12"/>
  <c r="AA12" i="12"/>
  <c r="X12" i="12"/>
  <c r="Z12" i="12" s="1"/>
  <c r="W48" i="12"/>
  <c r="D16" i="9"/>
  <c r="E16" i="9"/>
  <c r="F16" i="9"/>
  <c r="G16" i="9"/>
  <c r="H16" i="9"/>
  <c r="I16" i="9"/>
  <c r="J16" i="9"/>
  <c r="K16" i="9"/>
  <c r="L16" i="9"/>
  <c r="M16" i="9"/>
  <c r="N16" i="9"/>
  <c r="D17" i="9"/>
  <c r="D24" i="9" s="1"/>
  <c r="E17" i="9"/>
  <c r="E23" i="9" s="1"/>
  <c r="F17" i="9"/>
  <c r="F24" i="9" s="1"/>
  <c r="G17" i="9"/>
  <c r="G24" i="9" s="1"/>
  <c r="H17" i="9"/>
  <c r="H23" i="9" s="1"/>
  <c r="I17" i="9"/>
  <c r="I23" i="9" s="1"/>
  <c r="J17" i="9"/>
  <c r="J24" i="9" s="1"/>
  <c r="K17" i="9"/>
  <c r="K24" i="9" s="1"/>
  <c r="L17" i="9"/>
  <c r="L23" i="9" s="1"/>
  <c r="M17" i="9"/>
  <c r="M23" i="9" s="1"/>
  <c r="N17" i="9"/>
  <c r="N24" i="9" s="1"/>
  <c r="C17" i="9"/>
  <c r="C24" i="9" s="1"/>
  <c r="C16" i="9"/>
  <c r="C45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N17" i="10"/>
  <c r="N25" i="10" s="1"/>
  <c r="M17" i="10"/>
  <c r="M24" i="10" s="1"/>
  <c r="L17" i="10"/>
  <c r="L23" i="10" s="1"/>
  <c r="K17" i="10"/>
  <c r="K25" i="10" s="1"/>
  <c r="J17" i="10"/>
  <c r="J25" i="10" s="1"/>
  <c r="I17" i="10"/>
  <c r="I24" i="10" s="1"/>
  <c r="H17" i="10"/>
  <c r="H23" i="10" s="1"/>
  <c r="G17" i="10"/>
  <c r="G25" i="10" s="1"/>
  <c r="F17" i="10"/>
  <c r="F25" i="10" s="1"/>
  <c r="E17" i="10"/>
  <c r="E24" i="10" s="1"/>
  <c r="D17" i="10"/>
  <c r="D23" i="10" s="1"/>
  <c r="N16" i="10"/>
  <c r="M16" i="10"/>
  <c r="L16" i="10"/>
  <c r="K16" i="10"/>
  <c r="J16" i="10"/>
  <c r="I16" i="10"/>
  <c r="H16" i="10"/>
  <c r="G16" i="10"/>
  <c r="F16" i="10"/>
  <c r="E16" i="10"/>
  <c r="D16" i="10"/>
  <c r="C17" i="10"/>
  <c r="C25" i="10" s="1"/>
  <c r="C16" i="10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T22" i="3"/>
  <c r="AS22" i="3"/>
  <c r="AR22" i="3"/>
  <c r="AQ22" i="3"/>
  <c r="AP22" i="3"/>
  <c r="AO22" i="3"/>
  <c r="L22" i="3"/>
  <c r="K22" i="3"/>
  <c r="J22" i="3"/>
  <c r="I22" i="3"/>
  <c r="H22" i="3"/>
  <c r="P46" i="10" l="1"/>
  <c r="P54" i="10" s="1"/>
  <c r="P48" i="10"/>
  <c r="O59" i="4" s="1"/>
  <c r="R50" i="9"/>
  <c r="Q80" i="4" s="1"/>
  <c r="Q82" i="4" s="1"/>
  <c r="R46" i="9"/>
  <c r="R54" i="9" s="1"/>
  <c r="Q60" i="4"/>
  <c r="P46" i="9"/>
  <c r="P54" i="9" s="1"/>
  <c r="P48" i="9"/>
  <c r="O58" i="4" s="1"/>
  <c r="O60" i="4" s="1"/>
  <c r="O46" i="10"/>
  <c r="O54" i="10" s="1"/>
  <c r="O48" i="10"/>
  <c r="N59" i="4" s="1"/>
  <c r="N60" i="4" s="1"/>
  <c r="Q46" i="10"/>
  <c r="Q54" i="10" s="1"/>
  <c r="Q48" i="10"/>
  <c r="P59" i="4" s="1"/>
  <c r="P60" i="4" s="1"/>
  <c r="G24" i="10"/>
  <c r="C23" i="10"/>
  <c r="L25" i="10"/>
  <c r="H25" i="10"/>
  <c r="C25" i="9"/>
  <c r="C24" i="10"/>
  <c r="K24" i="10"/>
  <c r="H24" i="9"/>
  <c r="D25" i="10"/>
  <c r="L24" i="9"/>
  <c r="N23" i="10"/>
  <c r="F25" i="9"/>
  <c r="C23" i="9"/>
  <c r="M25" i="10"/>
  <c r="I25" i="10"/>
  <c r="E25" i="10"/>
  <c r="L24" i="10"/>
  <c r="H24" i="10"/>
  <c r="D24" i="10"/>
  <c r="K23" i="10"/>
  <c r="G23" i="10"/>
  <c r="D25" i="9"/>
  <c r="K25" i="9"/>
  <c r="G25" i="9"/>
  <c r="M24" i="9"/>
  <c r="I24" i="9"/>
  <c r="E24" i="9"/>
  <c r="K23" i="9"/>
  <c r="G23" i="9"/>
  <c r="J23" i="10"/>
  <c r="J25" i="9"/>
  <c r="J23" i="9"/>
  <c r="N24" i="10"/>
  <c r="J24" i="10"/>
  <c r="F24" i="10"/>
  <c r="M23" i="10"/>
  <c r="I23" i="10"/>
  <c r="E23" i="10"/>
  <c r="D23" i="9"/>
  <c r="M25" i="9"/>
  <c r="I25" i="9"/>
  <c r="E25" i="9"/>
  <c r="F23" i="10"/>
  <c r="N25" i="9"/>
  <c r="N23" i="9"/>
  <c r="F23" i="9"/>
  <c r="L25" i="9"/>
  <c r="H25" i="9"/>
  <c r="AA37" i="12"/>
  <c r="AA41" i="12"/>
  <c r="AA45" i="12"/>
  <c r="X48" i="12"/>
  <c r="Z48" i="12" s="1"/>
  <c r="Y48" i="12"/>
  <c r="AA48" i="12" s="1"/>
  <c r="Y42" i="11" l="1"/>
  <c r="Y41" i="11"/>
  <c r="Y40" i="11"/>
  <c r="Y39" i="11"/>
  <c r="Y38" i="11"/>
  <c r="Y37" i="11"/>
  <c r="Y36" i="11"/>
  <c r="Y35" i="11"/>
  <c r="Y34" i="11"/>
  <c r="Y33" i="11"/>
  <c r="X42" i="11"/>
  <c r="X41" i="11"/>
  <c r="X40" i="11"/>
  <c r="X39" i="11"/>
  <c r="X38" i="11"/>
  <c r="X37" i="11"/>
  <c r="X36" i="11"/>
  <c r="X35" i="11"/>
  <c r="X34" i="11"/>
  <c r="X33" i="11"/>
  <c r="X12" i="11"/>
  <c r="C32" i="2" l="1"/>
  <c r="C33" i="2" s="1"/>
  <c r="C35" i="2" s="1"/>
  <c r="B34" i="4" l="1"/>
  <c r="C34" i="4"/>
  <c r="H14" i="6"/>
  <c r="H18" i="6" s="1"/>
  <c r="E24" i="6"/>
  <c r="F24" i="6"/>
  <c r="G24" i="6"/>
  <c r="H24" i="6"/>
  <c r="I24" i="6"/>
  <c r="J24" i="6"/>
  <c r="K24" i="6"/>
  <c r="L24" i="6"/>
  <c r="M24" i="6"/>
  <c r="N24" i="6"/>
  <c r="O24" i="6"/>
  <c r="E25" i="6"/>
  <c r="F25" i="6"/>
  <c r="G25" i="6"/>
  <c r="H25" i="6"/>
  <c r="I25" i="6"/>
  <c r="J25" i="6"/>
  <c r="K25" i="6"/>
  <c r="L25" i="6"/>
  <c r="M25" i="6"/>
  <c r="N25" i="6"/>
  <c r="O25" i="6"/>
  <c r="D25" i="6"/>
  <c r="D24" i="6"/>
  <c r="W18" i="11"/>
  <c r="W19" i="11"/>
  <c r="W20" i="11"/>
  <c r="W21" i="11"/>
  <c r="W22" i="11"/>
  <c r="W23" i="11"/>
  <c r="W24" i="11"/>
  <c r="W33" i="11"/>
  <c r="W34" i="11"/>
  <c r="W35" i="11"/>
  <c r="W36" i="11"/>
  <c r="W37" i="11"/>
  <c r="W38" i="11"/>
  <c r="W39" i="11"/>
  <c r="W40" i="11"/>
  <c r="W41" i="11"/>
  <c r="W42" i="11"/>
  <c r="I19" i="6" l="1"/>
  <c r="K19" i="6"/>
  <c r="H19" i="6"/>
  <c r="L19" i="6"/>
  <c r="D19" i="6"/>
  <c r="O19" i="6"/>
  <c r="N19" i="6"/>
  <c r="F19" i="6"/>
  <c r="G19" i="6"/>
  <c r="M19" i="6"/>
  <c r="E19" i="6"/>
  <c r="D34" i="4"/>
  <c r="L14" i="6"/>
  <c r="L18" i="6" s="1"/>
  <c r="J14" i="6"/>
  <c r="J18" i="6" s="1"/>
  <c r="I14" i="6"/>
  <c r="I18" i="6" s="1"/>
  <c r="D14" i="6"/>
  <c r="D18" i="6" s="1"/>
  <c r="O14" i="6"/>
  <c r="O18" i="6" s="1"/>
  <c r="G14" i="6"/>
  <c r="G18" i="6" s="1"/>
  <c r="J19" i="6"/>
  <c r="M14" i="6"/>
  <c r="M18" i="6" s="1"/>
  <c r="E14" i="6"/>
  <c r="E18" i="6" s="1"/>
  <c r="N14" i="6"/>
  <c r="N18" i="6" s="1"/>
  <c r="F14" i="6"/>
  <c r="F18" i="6" s="1"/>
  <c r="K14" i="6"/>
  <c r="K18" i="6" s="1"/>
  <c r="E34" i="4" l="1"/>
  <c r="F13" i="5"/>
  <c r="E13" i="5"/>
  <c r="F34" i="4" l="1"/>
  <c r="D35" i="8"/>
  <c r="E35" i="8"/>
  <c r="F35" i="8"/>
  <c r="G35" i="8"/>
  <c r="H35" i="8"/>
  <c r="I35" i="8"/>
  <c r="J35" i="8"/>
  <c r="K35" i="8"/>
  <c r="L35" i="8"/>
  <c r="M35" i="8"/>
  <c r="N35" i="8"/>
  <c r="C35" i="8"/>
  <c r="E35" i="7"/>
  <c r="F35" i="7"/>
  <c r="G35" i="7"/>
  <c r="H35" i="7"/>
  <c r="I35" i="7"/>
  <c r="J35" i="7"/>
  <c r="K35" i="7"/>
  <c r="L35" i="7"/>
  <c r="M35" i="7"/>
  <c r="N35" i="7"/>
  <c r="O35" i="7"/>
  <c r="D35" i="7"/>
  <c r="E36" i="6"/>
  <c r="F36" i="6"/>
  <c r="G36" i="6"/>
  <c r="H36" i="6"/>
  <c r="I36" i="6"/>
  <c r="J36" i="6"/>
  <c r="K36" i="6"/>
  <c r="L36" i="6"/>
  <c r="M36" i="6"/>
  <c r="N36" i="6"/>
  <c r="O36" i="6"/>
  <c r="D36" i="6"/>
  <c r="G34" i="4" l="1"/>
  <c r="E10" i="6"/>
  <c r="F10" i="6"/>
  <c r="G10" i="6"/>
  <c r="H10" i="6"/>
  <c r="T10" i="6" s="1"/>
  <c r="I10" i="6"/>
  <c r="J10" i="6"/>
  <c r="K10" i="6"/>
  <c r="L10" i="6"/>
  <c r="M10" i="6"/>
  <c r="N10" i="6"/>
  <c r="O10" i="6"/>
  <c r="D10" i="6"/>
  <c r="E10" i="7"/>
  <c r="F10" i="7"/>
  <c r="G10" i="7"/>
  <c r="H10" i="7"/>
  <c r="I10" i="7"/>
  <c r="J10" i="7"/>
  <c r="K10" i="7"/>
  <c r="L10" i="7"/>
  <c r="M10" i="7"/>
  <c r="N10" i="7"/>
  <c r="O10" i="7"/>
  <c r="D10" i="7"/>
  <c r="D10" i="8"/>
  <c r="E10" i="8"/>
  <c r="F10" i="8"/>
  <c r="G10" i="8"/>
  <c r="S10" i="8" s="1"/>
  <c r="H10" i="8"/>
  <c r="I10" i="8"/>
  <c r="J10" i="8"/>
  <c r="K10" i="8"/>
  <c r="L10" i="8"/>
  <c r="M10" i="8"/>
  <c r="N10" i="8"/>
  <c r="C10" i="8"/>
  <c r="D10" i="9"/>
  <c r="E10" i="9"/>
  <c r="F10" i="9"/>
  <c r="G10" i="9"/>
  <c r="H10" i="9"/>
  <c r="I10" i="9"/>
  <c r="J10" i="9"/>
  <c r="K10" i="9"/>
  <c r="L10" i="9"/>
  <c r="M10" i="9"/>
  <c r="N10" i="9"/>
  <c r="C10" i="9"/>
  <c r="T10" i="7" l="1"/>
  <c r="H34" i="4"/>
  <c r="D45" i="10"/>
  <c r="E45" i="10"/>
  <c r="F45" i="10"/>
  <c r="G45" i="10"/>
  <c r="H45" i="10"/>
  <c r="I45" i="10"/>
  <c r="J45" i="10"/>
  <c r="K45" i="10"/>
  <c r="L45" i="10"/>
  <c r="M45" i="10"/>
  <c r="N45" i="10"/>
  <c r="D45" i="9"/>
  <c r="E45" i="9"/>
  <c r="F45" i="9"/>
  <c r="G45" i="9"/>
  <c r="H45" i="9"/>
  <c r="I45" i="9"/>
  <c r="J45" i="9"/>
  <c r="K45" i="9"/>
  <c r="L45" i="9"/>
  <c r="M45" i="9"/>
  <c r="N45" i="9"/>
  <c r="C45" i="9"/>
  <c r="M29" i="10"/>
  <c r="I29" i="10"/>
  <c r="E29" i="10"/>
  <c r="I19" i="9"/>
  <c r="M27" i="8"/>
  <c r="M30" i="8" s="1"/>
  <c r="I27" i="8"/>
  <c r="I30" i="8" s="1"/>
  <c r="E27" i="8"/>
  <c r="E30" i="8" s="1"/>
  <c r="M26" i="8"/>
  <c r="M29" i="8" s="1"/>
  <c r="K26" i="8"/>
  <c r="F26" i="8"/>
  <c r="N26" i="8"/>
  <c r="L26" i="8"/>
  <c r="J26" i="8"/>
  <c r="I26" i="8"/>
  <c r="I29" i="8" s="1"/>
  <c r="H26" i="8"/>
  <c r="G26" i="8"/>
  <c r="E26" i="8"/>
  <c r="D26" i="8"/>
  <c r="C26" i="8"/>
  <c r="I18" i="8"/>
  <c r="N18" i="8"/>
  <c r="M18" i="8"/>
  <c r="L18" i="8"/>
  <c r="K18" i="8"/>
  <c r="J18" i="8"/>
  <c r="H18" i="8"/>
  <c r="G18" i="8"/>
  <c r="F18" i="8"/>
  <c r="E18" i="8"/>
  <c r="D18" i="8"/>
  <c r="C18" i="8"/>
  <c r="N27" i="7"/>
  <c r="N30" i="7" s="1"/>
  <c r="F27" i="7"/>
  <c r="F30" i="7" s="1"/>
  <c r="M26" i="7"/>
  <c r="H26" i="7"/>
  <c r="L27" i="7"/>
  <c r="J27" i="7"/>
  <c r="J30" i="7" s="1"/>
  <c r="H27" i="7"/>
  <c r="H30" i="7" s="1"/>
  <c r="E27" i="7"/>
  <c r="D27" i="7"/>
  <c r="O26" i="7"/>
  <c r="N26" i="7"/>
  <c r="L26" i="7"/>
  <c r="L29" i="7" s="1"/>
  <c r="K26" i="7"/>
  <c r="J26" i="7"/>
  <c r="J29" i="7" s="1"/>
  <c r="I26" i="7"/>
  <c r="G26" i="7"/>
  <c r="F26" i="7"/>
  <c r="E26" i="7"/>
  <c r="D26" i="7"/>
  <c r="D29" i="7" s="1"/>
  <c r="O18" i="7"/>
  <c r="N18" i="7"/>
  <c r="M18" i="7"/>
  <c r="L18" i="7"/>
  <c r="K18" i="7"/>
  <c r="J18" i="7"/>
  <c r="I18" i="7"/>
  <c r="H18" i="7"/>
  <c r="G18" i="7"/>
  <c r="F18" i="7"/>
  <c r="E18" i="7"/>
  <c r="D18" i="7"/>
  <c r="O27" i="6"/>
  <c r="N27" i="6"/>
  <c r="M27" i="6"/>
  <c r="L27" i="6"/>
  <c r="K27" i="6"/>
  <c r="J27" i="6"/>
  <c r="I27" i="6"/>
  <c r="H27" i="6"/>
  <c r="G27" i="6"/>
  <c r="F27" i="6"/>
  <c r="E27" i="6"/>
  <c r="D27" i="6"/>
  <c r="C54" i="4"/>
  <c r="D54" i="4"/>
  <c r="E54" i="4"/>
  <c r="F54" i="4"/>
  <c r="G54" i="4"/>
  <c r="H54" i="4"/>
  <c r="I54" i="4"/>
  <c r="J54" i="4"/>
  <c r="K54" i="4"/>
  <c r="L54" i="4"/>
  <c r="M54" i="4"/>
  <c r="B54" i="4"/>
  <c r="I34" i="4" l="1"/>
  <c r="V34" i="4" s="1"/>
  <c r="K28" i="10"/>
  <c r="F29" i="9"/>
  <c r="J29" i="9"/>
  <c r="N29" i="9"/>
  <c r="D29" i="9"/>
  <c r="H29" i="9"/>
  <c r="L29" i="9"/>
  <c r="E28" i="6"/>
  <c r="E31" i="6" s="1"/>
  <c r="G28" i="6"/>
  <c r="G31" i="6" s="1"/>
  <c r="K28" i="6"/>
  <c r="K31" i="6" s="1"/>
  <c r="O28" i="6"/>
  <c r="O31" i="6" s="1"/>
  <c r="M28" i="6"/>
  <c r="M31" i="6" s="1"/>
  <c r="D28" i="6"/>
  <c r="D31" i="6" s="1"/>
  <c r="H28" i="6"/>
  <c r="H31" i="6" s="1"/>
  <c r="L28" i="6"/>
  <c r="L31" i="6" s="1"/>
  <c r="I28" i="6"/>
  <c r="I31" i="6" s="1"/>
  <c r="F30" i="6"/>
  <c r="J30" i="6"/>
  <c r="N30" i="6"/>
  <c r="F28" i="6"/>
  <c r="F31" i="6" s="1"/>
  <c r="J28" i="6"/>
  <c r="J31" i="6" s="1"/>
  <c r="N28" i="6"/>
  <c r="N31" i="6" s="1"/>
  <c r="C28" i="10"/>
  <c r="G29" i="10"/>
  <c r="K27" i="10"/>
  <c r="G27" i="10"/>
  <c r="I27" i="9"/>
  <c r="E29" i="9"/>
  <c r="I28" i="9"/>
  <c r="M27" i="9"/>
  <c r="E28" i="9"/>
  <c r="M28" i="9"/>
  <c r="C29" i="9"/>
  <c r="G29" i="9"/>
  <c r="K29" i="9"/>
  <c r="I21" i="9"/>
  <c r="I29" i="9"/>
  <c r="K17" i="7"/>
  <c r="F17" i="7"/>
  <c r="J17" i="7"/>
  <c r="N17" i="7"/>
  <c r="G17" i="7"/>
  <c r="G17" i="8"/>
  <c r="K17" i="8"/>
  <c r="D17" i="7"/>
  <c r="H17" i="7"/>
  <c r="L17" i="7"/>
  <c r="O17" i="7"/>
  <c r="C17" i="8"/>
  <c r="F29" i="7"/>
  <c r="N29" i="7"/>
  <c r="E17" i="7"/>
  <c r="I17" i="7"/>
  <c r="M17" i="7"/>
  <c r="E17" i="8"/>
  <c r="M17" i="8"/>
  <c r="K27" i="7"/>
  <c r="K30" i="7" s="1"/>
  <c r="L17" i="8"/>
  <c r="D27" i="8"/>
  <c r="D30" i="8" s="1"/>
  <c r="E30" i="6"/>
  <c r="I30" i="6"/>
  <c r="M30" i="6"/>
  <c r="G29" i="7"/>
  <c r="K29" i="7"/>
  <c r="O29" i="7"/>
  <c r="H29" i="7"/>
  <c r="D30" i="7"/>
  <c r="L30" i="7"/>
  <c r="C29" i="8"/>
  <c r="G29" i="8"/>
  <c r="K29" i="8"/>
  <c r="E29" i="8"/>
  <c r="O27" i="7"/>
  <c r="O30" i="7" s="1"/>
  <c r="H29" i="8"/>
  <c r="D17" i="8"/>
  <c r="H27" i="8"/>
  <c r="H30" i="8" s="1"/>
  <c r="G30" i="6"/>
  <c r="K30" i="6"/>
  <c r="O30" i="6"/>
  <c r="E30" i="7"/>
  <c r="E29" i="7"/>
  <c r="I29" i="7"/>
  <c r="M29" i="7"/>
  <c r="F29" i="10"/>
  <c r="J29" i="10"/>
  <c r="N29" i="10"/>
  <c r="G27" i="7"/>
  <c r="G30" i="7" s="1"/>
  <c r="H17" i="8"/>
  <c r="L27" i="8"/>
  <c r="L30" i="8" s="1"/>
  <c r="D30" i="6"/>
  <c r="H30" i="6"/>
  <c r="L30" i="6"/>
  <c r="I27" i="7"/>
  <c r="I30" i="7" s="1"/>
  <c r="M27" i="7"/>
  <c r="M30" i="7" s="1"/>
  <c r="F17" i="8"/>
  <c r="J17" i="8"/>
  <c r="N17" i="8"/>
  <c r="I17" i="8"/>
  <c r="F27" i="8"/>
  <c r="F30" i="8" s="1"/>
  <c r="J27" i="8"/>
  <c r="J30" i="8" s="1"/>
  <c r="N27" i="8"/>
  <c r="N30" i="8" s="1"/>
  <c r="C27" i="8"/>
  <c r="C30" i="8" s="1"/>
  <c r="G27" i="8"/>
  <c r="G30" i="8" s="1"/>
  <c r="K27" i="8"/>
  <c r="K30" i="8" s="1"/>
  <c r="D29" i="8"/>
  <c r="L29" i="8"/>
  <c r="M19" i="9"/>
  <c r="M21" i="9" s="1"/>
  <c r="E27" i="9"/>
  <c r="M29" i="9"/>
  <c r="F29" i="8"/>
  <c r="J29" i="8"/>
  <c r="N29" i="8"/>
  <c r="E19" i="9"/>
  <c r="E21" i="9" s="1"/>
  <c r="D19" i="9"/>
  <c r="D21" i="9" s="1"/>
  <c r="H19" i="9"/>
  <c r="H21" i="9" s="1"/>
  <c r="L19" i="9"/>
  <c r="L21" i="9" s="1"/>
  <c r="D27" i="9"/>
  <c r="H27" i="9"/>
  <c r="L27" i="9"/>
  <c r="D28" i="9"/>
  <c r="H28" i="9"/>
  <c r="L28" i="9"/>
  <c r="K19" i="10"/>
  <c r="K21" i="10" s="1"/>
  <c r="C27" i="10"/>
  <c r="G28" i="10"/>
  <c r="K29" i="10"/>
  <c r="F19" i="9"/>
  <c r="F21" i="9" s="1"/>
  <c r="J19" i="9"/>
  <c r="J21" i="9" s="1"/>
  <c r="N19" i="9"/>
  <c r="N21" i="9" s="1"/>
  <c r="F27" i="9"/>
  <c r="J27" i="9"/>
  <c r="N27" i="9"/>
  <c r="F28" i="9"/>
  <c r="J28" i="9"/>
  <c r="N28" i="9"/>
  <c r="C19" i="10"/>
  <c r="C21" i="10" s="1"/>
  <c r="C29" i="10"/>
  <c r="C19" i="9"/>
  <c r="C21" i="9" s="1"/>
  <c r="G19" i="9"/>
  <c r="G21" i="9" s="1"/>
  <c r="K19" i="9"/>
  <c r="K21" i="9" s="1"/>
  <c r="C27" i="9"/>
  <c r="G27" i="9"/>
  <c r="K27" i="9"/>
  <c r="C28" i="9"/>
  <c r="G28" i="9"/>
  <c r="K28" i="9"/>
  <c r="D29" i="10"/>
  <c r="H29" i="10"/>
  <c r="H27" i="10"/>
  <c r="L29" i="10"/>
  <c r="G19" i="10"/>
  <c r="G21" i="10" s="1"/>
  <c r="F19" i="10"/>
  <c r="F21" i="10" s="1"/>
  <c r="J19" i="10"/>
  <c r="J21" i="10" s="1"/>
  <c r="N19" i="10"/>
  <c r="N21" i="10" s="1"/>
  <c r="N27" i="10"/>
  <c r="F28" i="10"/>
  <c r="F27" i="10"/>
  <c r="J27" i="10"/>
  <c r="J28" i="10"/>
  <c r="N28" i="10"/>
  <c r="D19" i="10"/>
  <c r="D21" i="10" s="1"/>
  <c r="H19" i="10"/>
  <c r="H21" i="10" s="1"/>
  <c r="L19" i="10"/>
  <c r="L21" i="10" s="1"/>
  <c r="D27" i="10"/>
  <c r="L27" i="10"/>
  <c r="D28" i="10"/>
  <c r="H28" i="10"/>
  <c r="L28" i="10"/>
  <c r="E19" i="10"/>
  <c r="E21" i="10" s="1"/>
  <c r="I19" i="10"/>
  <c r="I21" i="10" s="1"/>
  <c r="M19" i="10"/>
  <c r="M21" i="10" s="1"/>
  <c r="E27" i="10"/>
  <c r="I27" i="10"/>
  <c r="M27" i="10"/>
  <c r="E28" i="10"/>
  <c r="I28" i="10"/>
  <c r="M28" i="10"/>
  <c r="S30" i="8" l="1"/>
  <c r="T30" i="7"/>
  <c r="T31" i="6"/>
  <c r="J34" i="4"/>
  <c r="K34" i="4" l="1"/>
  <c r="H41" i="5"/>
  <c r="G41" i="5"/>
  <c r="D41" i="5"/>
  <c r="G29" i="5"/>
  <c r="I29" i="5" s="1"/>
  <c r="D17" i="5"/>
  <c r="M34" i="4" l="1"/>
  <c r="L34" i="4"/>
  <c r="U34" i="4" s="1"/>
  <c r="B13" i="5" s="1"/>
  <c r="G13" i="5" s="1"/>
  <c r="I41" i="5"/>
  <c r="C15" i="4"/>
  <c r="D15" i="4"/>
  <c r="E15" i="4"/>
  <c r="F15" i="4"/>
  <c r="G15" i="4"/>
  <c r="H15" i="4"/>
  <c r="I15" i="4"/>
  <c r="J15" i="4"/>
  <c r="K15" i="4"/>
  <c r="L15" i="4"/>
  <c r="M15" i="4"/>
  <c r="C16" i="4"/>
  <c r="D16" i="4"/>
  <c r="E16" i="4"/>
  <c r="F16" i="4"/>
  <c r="G16" i="4"/>
  <c r="H16" i="4"/>
  <c r="I16" i="4"/>
  <c r="J16" i="4"/>
  <c r="K16" i="4"/>
  <c r="L16" i="4"/>
  <c r="M16" i="4"/>
  <c r="B16" i="4"/>
  <c r="B15" i="4"/>
  <c r="S15" i="4" l="1"/>
  <c r="R15" i="4"/>
  <c r="S16" i="4"/>
  <c r="R16" i="4"/>
  <c r="S34" i="4"/>
  <c r="R34" i="4"/>
  <c r="B33" i="4"/>
  <c r="C13" i="5"/>
  <c r="C33" i="4" l="1"/>
  <c r="H13" i="5"/>
  <c r="I13" i="5" s="1"/>
  <c r="D13" i="5"/>
  <c r="D33" i="4"/>
  <c r="E33" i="4"/>
  <c r="F33" i="4"/>
  <c r="G33" i="4"/>
  <c r="H33" i="4"/>
  <c r="I33" i="4"/>
  <c r="J33" i="4"/>
  <c r="K33" i="4"/>
  <c r="L33" i="4"/>
  <c r="M33" i="4"/>
  <c r="C35" i="4"/>
  <c r="D35" i="4"/>
  <c r="E35" i="4"/>
  <c r="F35" i="4"/>
  <c r="G35" i="4"/>
  <c r="H35" i="4"/>
  <c r="I35" i="4"/>
  <c r="J35" i="4"/>
  <c r="K35" i="4"/>
  <c r="L35" i="4"/>
  <c r="M35" i="4"/>
  <c r="C37" i="4"/>
  <c r="D37" i="4"/>
  <c r="E37" i="4"/>
  <c r="F37" i="4"/>
  <c r="G37" i="4"/>
  <c r="H37" i="4"/>
  <c r="I37" i="4"/>
  <c r="J37" i="4"/>
  <c r="K37" i="4"/>
  <c r="L37" i="4"/>
  <c r="M37" i="4"/>
  <c r="C36" i="4"/>
  <c r="D36" i="4"/>
  <c r="E36" i="4"/>
  <c r="F36" i="4"/>
  <c r="G36" i="4"/>
  <c r="H36" i="4"/>
  <c r="I36" i="4"/>
  <c r="J36" i="4"/>
  <c r="K36" i="4"/>
  <c r="L36" i="4"/>
  <c r="M36" i="4"/>
  <c r="C38" i="4"/>
  <c r="D38" i="4"/>
  <c r="E38" i="4"/>
  <c r="F38" i="4"/>
  <c r="G38" i="4"/>
  <c r="H38" i="4"/>
  <c r="I38" i="4"/>
  <c r="J38" i="4"/>
  <c r="K38" i="4"/>
  <c r="L38" i="4"/>
  <c r="M38" i="4"/>
  <c r="B35" i="4"/>
  <c r="B37" i="4"/>
  <c r="B36" i="4"/>
  <c r="B38" i="4"/>
  <c r="A38" i="4"/>
  <c r="A36" i="4"/>
  <c r="A37" i="4"/>
  <c r="A35" i="4"/>
  <c r="A33" i="4"/>
  <c r="M32" i="4"/>
  <c r="L32" i="4"/>
  <c r="K32" i="4"/>
  <c r="J32" i="4"/>
  <c r="I32" i="4"/>
  <c r="H32" i="4"/>
  <c r="G32" i="4"/>
  <c r="F32" i="4"/>
  <c r="E32" i="4"/>
  <c r="D32" i="4"/>
  <c r="C32" i="4"/>
  <c r="B32" i="4"/>
  <c r="A27" i="4"/>
  <c r="A48" i="4" s="1"/>
  <c r="A25" i="4"/>
  <c r="A46" i="4" s="1"/>
  <c r="A26" i="4"/>
  <c r="A47" i="4" s="1"/>
  <c r="A24" i="4"/>
  <c r="A45" i="4" s="1"/>
  <c r="A22" i="4"/>
  <c r="A44" i="4" s="1"/>
  <c r="M21" i="4"/>
  <c r="M43" i="4" s="1"/>
  <c r="L21" i="4"/>
  <c r="L43" i="4" s="1"/>
  <c r="K21" i="4"/>
  <c r="K43" i="4" s="1"/>
  <c r="J21" i="4"/>
  <c r="J43" i="4" s="1"/>
  <c r="I21" i="4"/>
  <c r="I43" i="4" s="1"/>
  <c r="H21" i="4"/>
  <c r="H43" i="4" s="1"/>
  <c r="G21" i="4"/>
  <c r="G43" i="4" s="1"/>
  <c r="F21" i="4"/>
  <c r="F43" i="4" s="1"/>
  <c r="E21" i="4"/>
  <c r="E43" i="4" s="1"/>
  <c r="D21" i="4"/>
  <c r="D43" i="4" s="1"/>
  <c r="C21" i="4"/>
  <c r="C43" i="4" s="1"/>
  <c r="B21" i="4"/>
  <c r="B43" i="4" s="1"/>
  <c r="J17" i="4"/>
  <c r="M17" i="4"/>
  <c r="L17" i="4"/>
  <c r="K28" i="4"/>
  <c r="I17" i="4"/>
  <c r="H17" i="4"/>
  <c r="G28" i="4"/>
  <c r="F28" i="4"/>
  <c r="E17" i="4"/>
  <c r="D17" i="4"/>
  <c r="C28" i="4"/>
  <c r="N78" i="2"/>
  <c r="M78" i="2"/>
  <c r="L78" i="2"/>
  <c r="K78" i="2"/>
  <c r="J78" i="2"/>
  <c r="I78" i="2"/>
  <c r="H78" i="2"/>
  <c r="G78" i="2"/>
  <c r="F78" i="2"/>
  <c r="E78" i="2"/>
  <c r="D78" i="2"/>
  <c r="C78" i="2"/>
  <c r="N75" i="2"/>
  <c r="N80" i="2" s="1"/>
  <c r="M75" i="2"/>
  <c r="L75" i="2"/>
  <c r="K75" i="2"/>
  <c r="J75" i="2"/>
  <c r="I75" i="2"/>
  <c r="H75" i="2"/>
  <c r="G75" i="2"/>
  <c r="F75" i="2"/>
  <c r="F80" i="2" s="1"/>
  <c r="E75" i="2"/>
  <c r="D75" i="2"/>
  <c r="C75" i="2"/>
  <c r="N68" i="2"/>
  <c r="N69" i="2" s="1"/>
  <c r="N71" i="2" s="1"/>
  <c r="M68" i="2"/>
  <c r="L68" i="2"/>
  <c r="K68" i="2"/>
  <c r="J68" i="2"/>
  <c r="J69" i="2" s="1"/>
  <c r="J71" i="2" s="1"/>
  <c r="I68" i="2"/>
  <c r="I69" i="2" s="1"/>
  <c r="I71" i="2" s="1"/>
  <c r="H68" i="2"/>
  <c r="G68" i="2"/>
  <c r="F68" i="2"/>
  <c r="F69" i="2" s="1"/>
  <c r="F71" i="2" s="1"/>
  <c r="E68" i="2"/>
  <c r="D68" i="2"/>
  <c r="C68" i="2"/>
  <c r="C69" i="2" s="1"/>
  <c r="C71" i="2" s="1"/>
  <c r="N56" i="2"/>
  <c r="N57" i="2" s="1"/>
  <c r="N59" i="2" s="1"/>
  <c r="M56" i="2"/>
  <c r="M57" i="2" s="1"/>
  <c r="M59" i="2" s="1"/>
  <c r="L56" i="2"/>
  <c r="L57" i="2" s="1"/>
  <c r="L59" i="2" s="1"/>
  <c r="K56" i="2"/>
  <c r="J56" i="2"/>
  <c r="J57" i="2" s="1"/>
  <c r="J59" i="2" s="1"/>
  <c r="I56" i="2"/>
  <c r="I57" i="2" s="1"/>
  <c r="I59" i="2" s="1"/>
  <c r="H56" i="2"/>
  <c r="H57" i="2" s="1"/>
  <c r="H59" i="2" s="1"/>
  <c r="G56" i="2"/>
  <c r="F56" i="2"/>
  <c r="F57" i="2" s="1"/>
  <c r="F59" i="2" s="1"/>
  <c r="E56" i="2"/>
  <c r="E57" i="2" s="1"/>
  <c r="E59" i="2" s="1"/>
  <c r="D56" i="2"/>
  <c r="D57" i="2" s="1"/>
  <c r="D59" i="2" s="1"/>
  <c r="C56" i="2"/>
  <c r="N44" i="2"/>
  <c r="M44" i="2"/>
  <c r="L44" i="2"/>
  <c r="K44" i="2"/>
  <c r="J44" i="2"/>
  <c r="J45" i="2" s="1"/>
  <c r="J47" i="2" s="1"/>
  <c r="I44" i="2"/>
  <c r="I45" i="2" s="1"/>
  <c r="I47" i="2" s="1"/>
  <c r="H44" i="2"/>
  <c r="G44" i="2"/>
  <c r="F44" i="2"/>
  <c r="F45" i="2" s="1"/>
  <c r="F47" i="2" s="1"/>
  <c r="E44" i="2"/>
  <c r="D44" i="2"/>
  <c r="C44" i="2"/>
  <c r="C45" i="2" s="1"/>
  <c r="C47" i="2" s="1"/>
  <c r="N32" i="2"/>
  <c r="M32" i="2"/>
  <c r="L32" i="2"/>
  <c r="L33" i="2" s="1"/>
  <c r="L35" i="2" s="1"/>
  <c r="K32" i="2"/>
  <c r="J32" i="2"/>
  <c r="I32" i="2"/>
  <c r="I33" i="2" s="1"/>
  <c r="I35" i="2" s="1"/>
  <c r="H32" i="2"/>
  <c r="H33" i="2" s="1"/>
  <c r="H35" i="2" s="1"/>
  <c r="G32" i="2"/>
  <c r="F32" i="2"/>
  <c r="E32" i="2"/>
  <c r="E33" i="2" s="1"/>
  <c r="E35" i="2" s="1"/>
  <c r="D32" i="2"/>
  <c r="D33" i="2" s="1"/>
  <c r="D35" i="2" s="1"/>
  <c r="N20" i="2"/>
  <c r="N21" i="2" s="1"/>
  <c r="N23" i="2" s="1"/>
  <c r="M20" i="2"/>
  <c r="L20" i="2"/>
  <c r="K20" i="2"/>
  <c r="K21" i="2" s="1"/>
  <c r="K23" i="2" s="1"/>
  <c r="J20" i="2"/>
  <c r="J21" i="2" s="1"/>
  <c r="J23" i="2" s="1"/>
  <c r="I20" i="2"/>
  <c r="H20" i="2"/>
  <c r="H21" i="2" s="1"/>
  <c r="H23" i="2" s="1"/>
  <c r="G20" i="2"/>
  <c r="F20" i="2"/>
  <c r="F21" i="2" s="1"/>
  <c r="F23" i="2" s="1"/>
  <c r="E20" i="2"/>
  <c r="E21" i="2" s="1"/>
  <c r="E23" i="2" s="1"/>
  <c r="D20" i="2"/>
  <c r="C20" i="2"/>
  <c r="C21" i="2" s="1"/>
  <c r="C23" i="2" s="1"/>
  <c r="M45" i="4" l="1"/>
  <c r="N33" i="2"/>
  <c r="N35" i="2" s="1"/>
  <c r="V36" i="4"/>
  <c r="R36" i="4"/>
  <c r="S36" i="4"/>
  <c r="G28" i="2"/>
  <c r="S32" i="2"/>
  <c r="G33" i="2"/>
  <c r="K40" i="2"/>
  <c r="K11" i="9" s="1"/>
  <c r="K45" i="2"/>
  <c r="K47" i="2" s="1"/>
  <c r="S56" i="2"/>
  <c r="G57" i="2"/>
  <c r="K69" i="2"/>
  <c r="K71" i="2" s="1"/>
  <c r="S75" i="2"/>
  <c r="V33" i="4"/>
  <c r="S33" i="4"/>
  <c r="R33" i="4"/>
  <c r="M33" i="2"/>
  <c r="M35" i="2" s="1"/>
  <c r="L48" i="4"/>
  <c r="M69" i="2"/>
  <c r="M71" i="2" s="1"/>
  <c r="V37" i="4"/>
  <c r="S37" i="4"/>
  <c r="R37" i="4"/>
  <c r="H44" i="4"/>
  <c r="I21" i="2"/>
  <c r="I23" i="2" s="1"/>
  <c r="C47" i="4"/>
  <c r="D45" i="2"/>
  <c r="D47" i="2" s="1"/>
  <c r="K48" i="4"/>
  <c r="L69" i="2"/>
  <c r="L71" i="2" s="1"/>
  <c r="K44" i="4"/>
  <c r="L21" i="2"/>
  <c r="L23" i="2" s="1"/>
  <c r="L47" i="4"/>
  <c r="M45" i="2"/>
  <c r="M47" i="2" s="1"/>
  <c r="M47" i="4"/>
  <c r="N45" i="2"/>
  <c r="N47" i="2" s="1"/>
  <c r="F28" i="2"/>
  <c r="G11" i="7" s="1"/>
  <c r="G12" i="7" s="1"/>
  <c r="G21" i="7" s="1"/>
  <c r="G33" i="7" s="1"/>
  <c r="G39" i="7" s="1"/>
  <c r="E67" i="4" s="1"/>
  <c r="F33" i="2"/>
  <c r="F35" i="2" s="1"/>
  <c r="K47" i="4"/>
  <c r="L45" i="2"/>
  <c r="L47" i="2" s="1"/>
  <c r="C48" i="4"/>
  <c r="D69" i="2"/>
  <c r="D71" i="2" s="1"/>
  <c r="C44" i="4"/>
  <c r="D21" i="2"/>
  <c r="D23" i="2" s="1"/>
  <c r="E40" i="2"/>
  <c r="E11" i="9" s="1"/>
  <c r="E14" i="9" s="1"/>
  <c r="E45" i="2"/>
  <c r="E47" i="2" s="1"/>
  <c r="E69" i="2"/>
  <c r="E71" i="2" s="1"/>
  <c r="M21" i="2"/>
  <c r="M23" i="2" s="1"/>
  <c r="I45" i="4"/>
  <c r="J33" i="2"/>
  <c r="J35" i="2" s="1"/>
  <c r="K28" i="2"/>
  <c r="L11" i="7" s="1"/>
  <c r="L12" i="7" s="1"/>
  <c r="L41" i="7" s="1"/>
  <c r="K33" i="2"/>
  <c r="K35" i="2" s="1"/>
  <c r="S44" i="2"/>
  <c r="G45" i="2"/>
  <c r="B46" i="4"/>
  <c r="C57" i="2"/>
  <c r="C59" i="2" s="1"/>
  <c r="K57" i="2"/>
  <c r="K59" i="2" s="1"/>
  <c r="S68" i="2"/>
  <c r="G69" i="2"/>
  <c r="S78" i="2"/>
  <c r="R38" i="4"/>
  <c r="V38" i="4"/>
  <c r="S38" i="4"/>
  <c r="S20" i="2"/>
  <c r="G21" i="2"/>
  <c r="G16" i="2" s="1"/>
  <c r="G47" i="4"/>
  <c r="H45" i="2"/>
  <c r="H47" i="2" s="1"/>
  <c r="G48" i="4"/>
  <c r="H69" i="2"/>
  <c r="H71" i="2" s="1"/>
  <c r="V35" i="4"/>
  <c r="S35" i="4"/>
  <c r="R35" i="4"/>
  <c r="U38" i="4"/>
  <c r="B65" i="5" s="1"/>
  <c r="U37" i="4"/>
  <c r="B49" i="5" s="1"/>
  <c r="U36" i="4"/>
  <c r="B37" i="5" s="1"/>
  <c r="C37" i="5"/>
  <c r="H37" i="5" s="1"/>
  <c r="U35" i="4"/>
  <c r="B25" i="5" s="1"/>
  <c r="U33" i="4"/>
  <c r="B12" i="5" s="1"/>
  <c r="G12" i="5" s="1"/>
  <c r="I52" i="2"/>
  <c r="I11" i="8" s="1"/>
  <c r="I12" i="8" s="1"/>
  <c r="I21" i="8" s="1"/>
  <c r="I33" i="8" s="1"/>
  <c r="I39" i="8" s="1"/>
  <c r="H68" i="4" s="1"/>
  <c r="K16" i="2"/>
  <c r="L11" i="6" s="1"/>
  <c r="L12" i="6" s="1"/>
  <c r="L22" i="6" s="1"/>
  <c r="C16" i="2"/>
  <c r="D11" i="6" s="1"/>
  <c r="D12" i="6" s="1"/>
  <c r="M80" i="2"/>
  <c r="G80" i="2"/>
  <c r="I80" i="2"/>
  <c r="C45" i="4"/>
  <c r="G40" i="2"/>
  <c r="E52" i="2"/>
  <c r="E11" i="8" s="1"/>
  <c r="E12" i="8" s="1"/>
  <c r="E20" i="8" s="1"/>
  <c r="E45" i="4"/>
  <c r="H64" i="2"/>
  <c r="H11" i="10" s="1"/>
  <c r="B45" i="4"/>
  <c r="M46" i="4"/>
  <c r="K45" i="4"/>
  <c r="E46" i="4"/>
  <c r="J44" i="4"/>
  <c r="C46" i="4"/>
  <c r="G64" i="2"/>
  <c r="I44" i="4"/>
  <c r="J47" i="4"/>
  <c r="K46" i="4"/>
  <c r="J48" i="4"/>
  <c r="H80" i="2"/>
  <c r="G44" i="4"/>
  <c r="F45" i="4"/>
  <c r="I47" i="4"/>
  <c r="F46" i="4"/>
  <c r="I64" i="2"/>
  <c r="I11" i="10" s="1"/>
  <c r="H16" i="2"/>
  <c r="I11" i="6" s="1"/>
  <c r="I12" i="6" s="1"/>
  <c r="G52" i="2"/>
  <c r="J52" i="2"/>
  <c r="J11" i="8" s="1"/>
  <c r="J12" i="8" s="1"/>
  <c r="C28" i="2"/>
  <c r="D11" i="7" s="1"/>
  <c r="D12" i="7" s="1"/>
  <c r="F52" i="2"/>
  <c r="F11" i="8" s="1"/>
  <c r="F12" i="8" s="1"/>
  <c r="I48" i="4"/>
  <c r="L45" i="4"/>
  <c r="D45" i="4"/>
  <c r="H47" i="4"/>
  <c r="L46" i="4"/>
  <c r="D46" i="4"/>
  <c r="H48" i="4"/>
  <c r="D80" i="2"/>
  <c r="B44" i="4"/>
  <c r="F44" i="4"/>
  <c r="J45" i="4"/>
  <c r="B47" i="4"/>
  <c r="F47" i="4"/>
  <c r="J46" i="4"/>
  <c r="B48" i="4"/>
  <c r="F48" i="4"/>
  <c r="C52" i="2"/>
  <c r="C11" i="8" s="1"/>
  <c r="C12" i="8" s="1"/>
  <c r="E80" i="2"/>
  <c r="M44" i="4"/>
  <c r="E44" i="4"/>
  <c r="E47" i="4"/>
  <c r="I46" i="4"/>
  <c r="M48" i="4"/>
  <c r="E48" i="4"/>
  <c r="L20" i="7"/>
  <c r="E28" i="2"/>
  <c r="F11" i="7" s="1"/>
  <c r="F12" i="7" s="1"/>
  <c r="M52" i="2"/>
  <c r="M11" i="8" s="1"/>
  <c r="M12" i="8" s="1"/>
  <c r="J80" i="2"/>
  <c r="L44" i="4"/>
  <c r="D44" i="4"/>
  <c r="H45" i="4"/>
  <c r="D47" i="4"/>
  <c r="H46" i="4"/>
  <c r="D48" i="4"/>
  <c r="K12" i="9"/>
  <c r="K14" i="9"/>
  <c r="N52" i="2"/>
  <c r="N11" i="8" s="1"/>
  <c r="N12" i="8" s="1"/>
  <c r="C80" i="2"/>
  <c r="K80" i="2"/>
  <c r="G45" i="4"/>
  <c r="G46" i="4"/>
  <c r="C49" i="5"/>
  <c r="H49" i="5" s="1"/>
  <c r="F39" i="4"/>
  <c r="C25" i="5"/>
  <c r="H25" i="5" s="1"/>
  <c r="C65" i="5"/>
  <c r="H65" i="5" s="1"/>
  <c r="C12" i="5"/>
  <c r="H12" i="5" s="1"/>
  <c r="J39" i="4"/>
  <c r="L39" i="4"/>
  <c r="H39" i="4"/>
  <c r="D39" i="4"/>
  <c r="K39" i="4"/>
  <c r="G39" i="4"/>
  <c r="C39" i="4"/>
  <c r="M39" i="4"/>
  <c r="I39" i="4"/>
  <c r="E39" i="4"/>
  <c r="H28" i="4"/>
  <c r="L28" i="4"/>
  <c r="D28" i="4"/>
  <c r="B17" i="4"/>
  <c r="J28" i="4"/>
  <c r="C17" i="4"/>
  <c r="G17" i="4"/>
  <c r="K17" i="4"/>
  <c r="E28" i="4"/>
  <c r="I28" i="4"/>
  <c r="F17" i="4"/>
  <c r="B39" i="4"/>
  <c r="E16" i="2"/>
  <c r="F11" i="6" s="1"/>
  <c r="F12" i="6" s="1"/>
  <c r="L52" i="2"/>
  <c r="L11" i="8" s="1"/>
  <c r="L12" i="8" s="1"/>
  <c r="H52" i="2"/>
  <c r="D28" i="2"/>
  <c r="E11" i="7" s="1"/>
  <c r="E12" i="7" s="1"/>
  <c r="H28" i="2"/>
  <c r="I11" i="7" s="1"/>
  <c r="I12" i="7" s="1"/>
  <c r="N16" i="2"/>
  <c r="O11" i="6" s="1"/>
  <c r="O12" i="6" s="1"/>
  <c r="L28" i="2"/>
  <c r="M11" i="7" s="1"/>
  <c r="M12" i="7" s="1"/>
  <c r="F40" i="2"/>
  <c r="F11" i="9" s="1"/>
  <c r="D52" i="2"/>
  <c r="F16" i="2"/>
  <c r="G11" i="6" s="1"/>
  <c r="G12" i="6" s="1"/>
  <c r="N64" i="2"/>
  <c r="N11" i="10" s="1"/>
  <c r="J16" i="2"/>
  <c r="K11" i="6" s="1"/>
  <c r="K12" i="6" s="1"/>
  <c r="I28" i="2"/>
  <c r="J11" i="7" s="1"/>
  <c r="J12" i="7" s="1"/>
  <c r="C64" i="2"/>
  <c r="C11" i="10" s="1"/>
  <c r="I40" i="2"/>
  <c r="I11" i="9" s="1"/>
  <c r="F64" i="2"/>
  <c r="F11" i="10" s="1"/>
  <c r="J64" i="2"/>
  <c r="J11" i="10" s="1"/>
  <c r="C40" i="2"/>
  <c r="C11" i="9" s="1"/>
  <c r="L80" i="2"/>
  <c r="J40" i="2"/>
  <c r="J11" i="9" s="1"/>
  <c r="H11" i="6" l="1"/>
  <c r="H12" i="6" s="1"/>
  <c r="L21" i="7"/>
  <c r="N40" i="2"/>
  <c r="N11" i="9" s="1"/>
  <c r="G11" i="9"/>
  <c r="G12" i="9" s="1"/>
  <c r="M28" i="2"/>
  <c r="N11" i="7" s="1"/>
  <c r="N12" i="7" s="1"/>
  <c r="G11" i="8"/>
  <c r="G12" i="8" s="1"/>
  <c r="S52" i="2"/>
  <c r="E12" i="9"/>
  <c r="R47" i="4"/>
  <c r="S47" i="4"/>
  <c r="L40" i="2"/>
  <c r="L11" i="9" s="1"/>
  <c r="L12" i="9" s="1"/>
  <c r="M16" i="2"/>
  <c r="N11" i="6" s="1"/>
  <c r="N12" i="6" s="1"/>
  <c r="R28" i="4"/>
  <c r="K52" i="2"/>
  <c r="K11" i="8" s="1"/>
  <c r="K12" i="8" s="1"/>
  <c r="S57" i="2"/>
  <c r="G59" i="2"/>
  <c r="S59" i="2" s="1"/>
  <c r="G20" i="7"/>
  <c r="G32" i="7" s="1"/>
  <c r="G47" i="2"/>
  <c r="S47" i="2" s="1"/>
  <c r="S45" i="2"/>
  <c r="K64" i="2"/>
  <c r="K11" i="10" s="1"/>
  <c r="R17" i="4"/>
  <c r="S17" i="4"/>
  <c r="S39" i="4"/>
  <c r="R39" i="4"/>
  <c r="S80" i="2"/>
  <c r="E64" i="2"/>
  <c r="E11" i="10" s="1"/>
  <c r="G35" i="2"/>
  <c r="S35" i="2" s="1"/>
  <c r="S33" i="2"/>
  <c r="S21" i="2"/>
  <c r="G23" i="2"/>
  <c r="S23" i="2" s="1"/>
  <c r="H11" i="7"/>
  <c r="H12" i="7" s="1"/>
  <c r="R48" i="4"/>
  <c r="S48" i="4"/>
  <c r="R45" i="4"/>
  <c r="S45" i="4"/>
  <c r="R44" i="4"/>
  <c r="S44" i="4"/>
  <c r="R46" i="4"/>
  <c r="S46" i="4"/>
  <c r="G71" i="2"/>
  <c r="S71" i="2" s="1"/>
  <c r="S69" i="2"/>
  <c r="G11" i="10"/>
  <c r="G12" i="10" s="1"/>
  <c r="L34" i="6"/>
  <c r="L40" i="6" s="1"/>
  <c r="J66" i="4" s="1"/>
  <c r="L32" i="7"/>
  <c r="L38" i="7" s="1"/>
  <c r="J56" i="4" s="1"/>
  <c r="L33" i="7"/>
  <c r="L39" i="7" s="1"/>
  <c r="J67" i="4" s="1"/>
  <c r="L21" i="6"/>
  <c r="I20" i="8"/>
  <c r="I32" i="8" s="1"/>
  <c r="I36" i="8" s="1"/>
  <c r="I43" i="8" s="1"/>
  <c r="E21" i="8"/>
  <c r="E33" i="8" s="1"/>
  <c r="E39" i="8" s="1"/>
  <c r="D68" i="4" s="1"/>
  <c r="I41" i="8"/>
  <c r="C49" i="4"/>
  <c r="D40" i="2"/>
  <c r="D11" i="9" s="1"/>
  <c r="D14" i="9" s="1"/>
  <c r="M64" i="2"/>
  <c r="K49" i="4"/>
  <c r="D22" i="6"/>
  <c r="D21" i="6"/>
  <c r="G49" i="4"/>
  <c r="I49" i="4"/>
  <c r="N28" i="2"/>
  <c r="O11" i="7" s="1"/>
  <c r="O12" i="7" s="1"/>
  <c r="G14" i="10"/>
  <c r="G34" i="10" s="1"/>
  <c r="E49" i="4"/>
  <c r="M49" i="4"/>
  <c r="L49" i="4"/>
  <c r="J49" i="4"/>
  <c r="J83" i="2"/>
  <c r="J28" i="2"/>
  <c r="K11" i="7" s="1"/>
  <c r="K12" i="7" s="1"/>
  <c r="N83" i="2"/>
  <c r="D49" i="4"/>
  <c r="L14" i="9"/>
  <c r="L31" i="9" s="1"/>
  <c r="L37" i="9" s="1"/>
  <c r="L52" i="9" s="1"/>
  <c r="K91" i="4" s="1"/>
  <c r="H49" i="4"/>
  <c r="M83" i="2"/>
  <c r="M40" i="2"/>
  <c r="M11" i="9" s="1"/>
  <c r="N12" i="9"/>
  <c r="N14" i="9"/>
  <c r="B49" i="4"/>
  <c r="M41" i="8"/>
  <c r="M21" i="8"/>
  <c r="M33" i="8" s="1"/>
  <c r="M39" i="8" s="1"/>
  <c r="L68" i="4" s="1"/>
  <c r="M20" i="8"/>
  <c r="M32" i="8" s="1"/>
  <c r="E32" i="8"/>
  <c r="J41" i="7"/>
  <c r="J21" i="7"/>
  <c r="J33" i="7" s="1"/>
  <c r="J39" i="7" s="1"/>
  <c r="H67" i="4" s="1"/>
  <c r="J20" i="7"/>
  <c r="J32" i="7" s="1"/>
  <c r="E21" i="7"/>
  <c r="E33" i="7" s="1"/>
  <c r="E39" i="7" s="1"/>
  <c r="C67" i="4" s="1"/>
  <c r="E20" i="7"/>
  <c r="E32" i="7" s="1"/>
  <c r="D16" i="2"/>
  <c r="E35" i="9"/>
  <c r="E31" i="9"/>
  <c r="E34" i="9"/>
  <c r="E33" i="9"/>
  <c r="I21" i="6"/>
  <c r="I22" i="6"/>
  <c r="C12" i="9"/>
  <c r="C14" i="9"/>
  <c r="L41" i="8"/>
  <c r="L21" i="8"/>
  <c r="L33" i="8" s="1"/>
  <c r="L39" i="8" s="1"/>
  <c r="K68" i="4" s="1"/>
  <c r="L20" i="8"/>
  <c r="L32" i="8" s="1"/>
  <c r="D64" i="2"/>
  <c r="D11" i="10" s="1"/>
  <c r="I12" i="9"/>
  <c r="I14" i="9"/>
  <c r="H12" i="10"/>
  <c r="H14" i="10"/>
  <c r="G21" i="6"/>
  <c r="G33" i="6" s="1"/>
  <c r="G22" i="6"/>
  <c r="G34" i="6" s="1"/>
  <c r="G40" i="6" s="1"/>
  <c r="E66" i="4" s="1"/>
  <c r="M41" i="7"/>
  <c r="M21" i="7"/>
  <c r="M33" i="7" s="1"/>
  <c r="M39" i="7" s="1"/>
  <c r="K67" i="4" s="1"/>
  <c r="M20" i="7"/>
  <c r="M32" i="7" s="1"/>
  <c r="N21" i="8"/>
  <c r="N33" i="8" s="1"/>
  <c r="N39" i="8" s="1"/>
  <c r="M68" i="4" s="1"/>
  <c r="N41" i="8"/>
  <c r="N20" i="8"/>
  <c r="N32" i="8" s="1"/>
  <c r="D21" i="7"/>
  <c r="D20" i="7"/>
  <c r="D11" i="8"/>
  <c r="D12" i="8" s="1"/>
  <c r="C21" i="8"/>
  <c r="C20" i="8"/>
  <c r="F21" i="8"/>
  <c r="F33" i="8" s="1"/>
  <c r="F39" i="8" s="1"/>
  <c r="E68" i="4" s="1"/>
  <c r="F20" i="8"/>
  <c r="F32" i="8" s="1"/>
  <c r="F12" i="9"/>
  <c r="F14" i="9"/>
  <c r="F12" i="10"/>
  <c r="F14" i="10"/>
  <c r="K21" i="6"/>
  <c r="K33" i="6" s="1"/>
  <c r="K22" i="6"/>
  <c r="K34" i="6" s="1"/>
  <c r="K40" i="6" s="1"/>
  <c r="I66" i="4" s="1"/>
  <c r="J12" i="10"/>
  <c r="J14" i="10"/>
  <c r="H11" i="8"/>
  <c r="H12" i="8" s="1"/>
  <c r="F21" i="6"/>
  <c r="F22" i="6"/>
  <c r="G76" i="2"/>
  <c r="H40" i="2"/>
  <c r="H11" i="9" s="1"/>
  <c r="F49" i="4"/>
  <c r="I12" i="10"/>
  <c r="I14" i="10"/>
  <c r="G41" i="8"/>
  <c r="G21" i="8"/>
  <c r="G20" i="8"/>
  <c r="K35" i="9"/>
  <c r="K31" i="9"/>
  <c r="K33" i="9"/>
  <c r="K34" i="9"/>
  <c r="O21" i="6"/>
  <c r="O33" i="6" s="1"/>
  <c r="O22" i="6"/>
  <c r="O34" i="6" s="1"/>
  <c r="O40" i="6" s="1"/>
  <c r="M66" i="4" s="1"/>
  <c r="F21" i="7"/>
  <c r="F20" i="7"/>
  <c r="G38" i="7"/>
  <c r="E56" i="4" s="1"/>
  <c r="G36" i="7"/>
  <c r="I41" i="7"/>
  <c r="I21" i="7"/>
  <c r="I20" i="7"/>
  <c r="J12" i="9"/>
  <c r="J14" i="9"/>
  <c r="K83" i="2"/>
  <c r="C12" i="10"/>
  <c r="C14" i="10"/>
  <c r="N12" i="10"/>
  <c r="N14" i="10"/>
  <c r="L16" i="2"/>
  <c r="M11" i="6" s="1"/>
  <c r="M12" i="6" s="1"/>
  <c r="L64" i="2"/>
  <c r="L11" i="10" s="1"/>
  <c r="J41" i="8"/>
  <c r="J21" i="8"/>
  <c r="J33" i="8" s="1"/>
  <c r="J39" i="8" s="1"/>
  <c r="I68" i="4" s="1"/>
  <c r="J20" i="8"/>
  <c r="J32" i="8" s="1"/>
  <c r="D12" i="5"/>
  <c r="D49" i="5"/>
  <c r="G49" i="5"/>
  <c r="G65" i="5"/>
  <c r="D65" i="5"/>
  <c r="G37" i="5"/>
  <c r="D37" i="5"/>
  <c r="G25" i="5"/>
  <c r="D25" i="5"/>
  <c r="B28" i="4"/>
  <c r="M28" i="4"/>
  <c r="S28" i="4" s="1"/>
  <c r="F83" i="2"/>
  <c r="C76" i="2"/>
  <c r="I83" i="2"/>
  <c r="I16" i="2"/>
  <c r="J11" i="6" s="1"/>
  <c r="J12" i="6" s="1"/>
  <c r="E83" i="2"/>
  <c r="F76" i="2"/>
  <c r="F81" i="2" s="1"/>
  <c r="E76" i="2"/>
  <c r="E81" i="2" s="1"/>
  <c r="G81" i="2" l="1"/>
  <c r="I33" i="6"/>
  <c r="I32" i="7"/>
  <c r="I36" i="7" s="1"/>
  <c r="I43" i="7" s="1"/>
  <c r="S40" i="2"/>
  <c r="S28" i="2"/>
  <c r="K12" i="10"/>
  <c r="K14" i="10"/>
  <c r="I34" i="6"/>
  <c r="I40" i="6" s="1"/>
  <c r="G66" i="4" s="1"/>
  <c r="K76" i="2"/>
  <c r="K81" i="2" s="1"/>
  <c r="H41" i="7"/>
  <c r="H21" i="7"/>
  <c r="H20" i="7"/>
  <c r="S16" i="2"/>
  <c r="N41" i="7"/>
  <c r="N20" i="7"/>
  <c r="N32" i="7" s="1"/>
  <c r="N21" i="7"/>
  <c r="N33" i="7" s="1"/>
  <c r="N39" i="7" s="1"/>
  <c r="L67" i="4" s="1"/>
  <c r="G33" i="8"/>
  <c r="G39" i="8" s="1"/>
  <c r="F68" i="4" s="1"/>
  <c r="N21" i="6"/>
  <c r="N33" i="6" s="1"/>
  <c r="N22" i="6"/>
  <c r="N34" i="6" s="1"/>
  <c r="N40" i="6" s="1"/>
  <c r="L66" i="4" s="1"/>
  <c r="G14" i="9"/>
  <c r="H21" i="6"/>
  <c r="H22" i="6"/>
  <c r="G32" i="8"/>
  <c r="S64" i="2"/>
  <c r="I33" i="7"/>
  <c r="I39" i="7" s="1"/>
  <c r="G67" i="4" s="1"/>
  <c r="E14" i="10"/>
  <c r="E12" i="10"/>
  <c r="G83" i="2"/>
  <c r="S49" i="4"/>
  <c r="R49" i="4"/>
  <c r="K41" i="8"/>
  <c r="U41" i="8" s="1"/>
  <c r="K21" i="8"/>
  <c r="K33" i="8" s="1"/>
  <c r="K39" i="8" s="1"/>
  <c r="J68" i="4" s="1"/>
  <c r="U68" i="4" s="1"/>
  <c r="K20" i="8"/>
  <c r="K32" i="8" s="1"/>
  <c r="K38" i="8" s="1"/>
  <c r="J57" i="4" s="1"/>
  <c r="G40" i="10"/>
  <c r="G49" i="10" s="1"/>
  <c r="F70" i="4" s="1"/>
  <c r="M11" i="10"/>
  <c r="M12" i="10" s="1"/>
  <c r="U20" i="8"/>
  <c r="U21" i="8"/>
  <c r="L36" i="7"/>
  <c r="L43" i="7" s="1"/>
  <c r="L33" i="6"/>
  <c r="L37" i="6" s="1"/>
  <c r="D33" i="6"/>
  <c r="D39" i="6" s="1"/>
  <c r="B55" i="4" s="1"/>
  <c r="D34" i="6"/>
  <c r="D40" i="6" s="1"/>
  <c r="B66" i="4" s="1"/>
  <c r="K37" i="9"/>
  <c r="K52" i="9" s="1"/>
  <c r="J91" i="4" s="1"/>
  <c r="K41" i="9"/>
  <c r="K50" i="9" s="1"/>
  <c r="J80" i="4" s="1"/>
  <c r="K40" i="9"/>
  <c r="K49" i="9" s="1"/>
  <c r="J69" i="4" s="1"/>
  <c r="H83" i="2"/>
  <c r="I65" i="5"/>
  <c r="I38" i="8"/>
  <c r="H57" i="4" s="1"/>
  <c r="D12" i="9"/>
  <c r="M14" i="10"/>
  <c r="M31" i="10" s="1"/>
  <c r="M37" i="10" s="1"/>
  <c r="M52" i="10" s="1"/>
  <c r="L92" i="4" s="1"/>
  <c r="J76" i="2"/>
  <c r="J81" i="2" s="1"/>
  <c r="L35" i="9"/>
  <c r="L41" i="9" s="1"/>
  <c r="L50" i="9" s="1"/>
  <c r="K80" i="4" s="1"/>
  <c r="G31" i="10"/>
  <c r="L33" i="9"/>
  <c r="L34" i="9"/>
  <c r="L40" i="9" s="1"/>
  <c r="L49" i="9" s="1"/>
  <c r="K69" i="4" s="1"/>
  <c r="C83" i="2"/>
  <c r="G33" i="10"/>
  <c r="G35" i="10"/>
  <c r="M76" i="2"/>
  <c r="M81" i="2" s="1"/>
  <c r="O41" i="7"/>
  <c r="V41" i="7" s="1"/>
  <c r="O21" i="7"/>
  <c r="O33" i="7" s="1"/>
  <c r="O39" i="7" s="1"/>
  <c r="M67" i="4" s="1"/>
  <c r="U67" i="4" s="1"/>
  <c r="O20" i="7"/>
  <c r="O32" i="7" s="1"/>
  <c r="N76" i="2"/>
  <c r="N81" i="2" s="1"/>
  <c r="H76" i="2"/>
  <c r="H81" i="2" s="1"/>
  <c r="L83" i="2"/>
  <c r="K20" i="7"/>
  <c r="K32" i="7" s="1"/>
  <c r="K41" i="7"/>
  <c r="W41" i="7" s="1"/>
  <c r="K21" i="7"/>
  <c r="K33" i="7" s="1"/>
  <c r="K39" i="7" s="1"/>
  <c r="I67" i="4" s="1"/>
  <c r="M14" i="9"/>
  <c r="M12" i="9"/>
  <c r="H41" i="8"/>
  <c r="H21" i="8"/>
  <c r="H20" i="8"/>
  <c r="K39" i="6"/>
  <c r="I55" i="4" s="1"/>
  <c r="K37" i="6"/>
  <c r="C32" i="8"/>
  <c r="D12" i="10"/>
  <c r="D14" i="10"/>
  <c r="F34" i="6"/>
  <c r="F40" i="6" s="1"/>
  <c r="D66" i="4" s="1"/>
  <c r="J38" i="7"/>
  <c r="H56" i="4" s="1"/>
  <c r="J36" i="7"/>
  <c r="J43" i="7" s="1"/>
  <c r="J35" i="9"/>
  <c r="J41" i="9" s="1"/>
  <c r="J50" i="9" s="1"/>
  <c r="I80" i="4" s="1"/>
  <c r="J31" i="9"/>
  <c r="J37" i="9" s="1"/>
  <c r="J52" i="9" s="1"/>
  <c r="I91" i="4" s="1"/>
  <c r="J34" i="9"/>
  <c r="J40" i="9" s="1"/>
  <c r="J49" i="9" s="1"/>
  <c r="I69" i="4" s="1"/>
  <c r="J33" i="9"/>
  <c r="O39" i="6"/>
  <c r="M55" i="4" s="1"/>
  <c r="O37" i="6"/>
  <c r="L38" i="8"/>
  <c r="K57" i="4" s="1"/>
  <c r="L36" i="8"/>
  <c r="L43" i="8" s="1"/>
  <c r="E36" i="8"/>
  <c r="E38" i="8"/>
  <c r="D57" i="4" s="1"/>
  <c r="N31" i="10"/>
  <c r="N37" i="10" s="1"/>
  <c r="N52" i="10" s="1"/>
  <c r="M92" i="4" s="1"/>
  <c r="N35" i="10"/>
  <c r="N41" i="10" s="1"/>
  <c r="N50" i="10" s="1"/>
  <c r="M81" i="4" s="1"/>
  <c r="N34" i="10"/>
  <c r="N40" i="10" s="1"/>
  <c r="N49" i="10" s="1"/>
  <c r="M70" i="4" s="1"/>
  <c r="N33" i="10"/>
  <c r="D21" i="8"/>
  <c r="D33" i="8" s="1"/>
  <c r="D39" i="8" s="1"/>
  <c r="C68" i="4" s="1"/>
  <c r="D20" i="8"/>
  <c r="D32" i="8" s="1"/>
  <c r="M38" i="7"/>
  <c r="K56" i="4" s="1"/>
  <c r="M36" i="7"/>
  <c r="M43" i="7" s="1"/>
  <c r="C33" i="9"/>
  <c r="C34" i="9"/>
  <c r="C35" i="9"/>
  <c r="C31" i="9"/>
  <c r="G39" i="6"/>
  <c r="E55" i="4" s="1"/>
  <c r="G37" i="6"/>
  <c r="E37" i="9"/>
  <c r="E52" i="9" s="1"/>
  <c r="D91" i="4" s="1"/>
  <c r="H35" i="10"/>
  <c r="H41" i="10" s="1"/>
  <c r="H50" i="10" s="1"/>
  <c r="G81" i="4" s="1"/>
  <c r="H33" i="10"/>
  <c r="H31" i="10"/>
  <c r="H37" i="10" s="1"/>
  <c r="H52" i="10" s="1"/>
  <c r="G92" i="4" s="1"/>
  <c r="H34" i="10"/>
  <c r="H40" i="10" s="1"/>
  <c r="H49" i="10" s="1"/>
  <c r="G70" i="4" s="1"/>
  <c r="E41" i="9"/>
  <c r="E50" i="9" s="1"/>
  <c r="D80" i="4" s="1"/>
  <c r="G38" i="8"/>
  <c r="F57" i="4" s="1"/>
  <c r="G36" i="8"/>
  <c r="G43" i="8" s="1"/>
  <c r="F31" i="10"/>
  <c r="F37" i="10" s="1"/>
  <c r="F52" i="10" s="1"/>
  <c r="E92" i="4" s="1"/>
  <c r="F34" i="10"/>
  <c r="F40" i="10" s="1"/>
  <c r="F49" i="10" s="1"/>
  <c r="E70" i="4" s="1"/>
  <c r="F35" i="10"/>
  <c r="F41" i="10" s="1"/>
  <c r="F50" i="10" s="1"/>
  <c r="E81" i="4" s="1"/>
  <c r="F33" i="10"/>
  <c r="F39" i="10" s="1"/>
  <c r="I33" i="9"/>
  <c r="I34" i="9"/>
  <c r="I40" i="9" s="1"/>
  <c r="I49" i="9" s="1"/>
  <c r="H69" i="4" s="1"/>
  <c r="I31" i="9"/>
  <c r="I37" i="9" s="1"/>
  <c r="I52" i="9" s="1"/>
  <c r="H91" i="4" s="1"/>
  <c r="I35" i="9"/>
  <c r="I41" i="9" s="1"/>
  <c r="I50" i="9" s="1"/>
  <c r="H80" i="4" s="1"/>
  <c r="I38" i="7"/>
  <c r="G56" i="4" s="1"/>
  <c r="D35" i="9"/>
  <c r="D41" i="9" s="1"/>
  <c r="D50" i="9" s="1"/>
  <c r="C80" i="4" s="1"/>
  <c r="D31" i="9"/>
  <c r="D37" i="9" s="1"/>
  <c r="D52" i="9" s="1"/>
  <c r="C91" i="4" s="1"/>
  <c r="D34" i="9"/>
  <c r="D40" i="9" s="1"/>
  <c r="D49" i="9" s="1"/>
  <c r="C69" i="4" s="1"/>
  <c r="D33" i="9"/>
  <c r="D39" i="9" s="1"/>
  <c r="H12" i="9"/>
  <c r="H14" i="9"/>
  <c r="G35" i="9"/>
  <c r="G33" i="9"/>
  <c r="G34" i="9"/>
  <c r="G31" i="9"/>
  <c r="M36" i="8"/>
  <c r="M43" i="8" s="1"/>
  <c r="M38" i="8"/>
  <c r="L57" i="4" s="1"/>
  <c r="J38" i="8"/>
  <c r="I57" i="4" s="1"/>
  <c r="J36" i="8"/>
  <c r="J43" i="8" s="1"/>
  <c r="I35" i="10"/>
  <c r="I41" i="10" s="1"/>
  <c r="I50" i="10" s="1"/>
  <c r="H81" i="4" s="1"/>
  <c r="I33" i="10"/>
  <c r="I34" i="10"/>
  <c r="I40" i="10" s="1"/>
  <c r="I49" i="10" s="1"/>
  <c r="H70" i="4" s="1"/>
  <c r="I31" i="10"/>
  <c r="I37" i="10" s="1"/>
  <c r="I52" i="10" s="1"/>
  <c r="H92" i="4" s="1"/>
  <c r="J21" i="6"/>
  <c r="J33" i="6" s="1"/>
  <c r="J22" i="6"/>
  <c r="J34" i="6" s="1"/>
  <c r="F33" i="6"/>
  <c r="N38" i="8"/>
  <c r="M57" i="4" s="1"/>
  <c r="N36" i="8"/>
  <c r="N43" i="8" s="1"/>
  <c r="L12" i="10"/>
  <c r="L14" i="10"/>
  <c r="C33" i="8"/>
  <c r="C39" i="8" s="1"/>
  <c r="B68" i="4" s="1"/>
  <c r="C35" i="10"/>
  <c r="C31" i="10"/>
  <c r="C33" i="10"/>
  <c r="C34" i="10"/>
  <c r="F32" i="7"/>
  <c r="F34" i="9"/>
  <c r="F40" i="9" s="1"/>
  <c r="F49" i="9" s="1"/>
  <c r="E69" i="4" s="1"/>
  <c r="F31" i="9"/>
  <c r="F37" i="9" s="1"/>
  <c r="F52" i="9" s="1"/>
  <c r="E91" i="4" s="1"/>
  <c r="F35" i="9"/>
  <c r="F41" i="9" s="1"/>
  <c r="F50" i="9" s="1"/>
  <c r="E80" i="4" s="1"/>
  <c r="F33" i="9"/>
  <c r="F39" i="9" s="1"/>
  <c r="D32" i="7"/>
  <c r="E39" i="9"/>
  <c r="E11" i="6"/>
  <c r="E12" i="6" s="1"/>
  <c r="D76" i="2"/>
  <c r="D81" i="2" s="1"/>
  <c r="E38" i="7"/>
  <c r="C56" i="4" s="1"/>
  <c r="E36" i="7"/>
  <c r="N33" i="9"/>
  <c r="N34" i="9"/>
  <c r="N40" i="9" s="1"/>
  <c r="N49" i="9" s="1"/>
  <c r="M69" i="4" s="1"/>
  <c r="N35" i="9"/>
  <c r="N41" i="9" s="1"/>
  <c r="N50" i="9" s="1"/>
  <c r="M80" i="4" s="1"/>
  <c r="N31" i="9"/>
  <c r="N37" i="9" s="1"/>
  <c r="N52" i="9" s="1"/>
  <c r="M91" i="4" s="1"/>
  <c r="M93" i="4" s="1"/>
  <c r="K43" i="9"/>
  <c r="K39" i="9"/>
  <c r="F38" i="8"/>
  <c r="E57" i="4" s="1"/>
  <c r="F36" i="8"/>
  <c r="M21" i="6"/>
  <c r="M33" i="6" s="1"/>
  <c r="M22" i="6"/>
  <c r="L76" i="2"/>
  <c r="L81" i="2" s="1"/>
  <c r="F33" i="7"/>
  <c r="F39" i="7" s="1"/>
  <c r="D67" i="4" s="1"/>
  <c r="J34" i="10"/>
  <c r="J40" i="10" s="1"/>
  <c r="J49" i="10" s="1"/>
  <c r="I70" i="4" s="1"/>
  <c r="J33" i="10"/>
  <c r="J35" i="10"/>
  <c r="J41" i="10" s="1"/>
  <c r="J50" i="10" s="1"/>
  <c r="I81" i="4" s="1"/>
  <c r="J31" i="10"/>
  <c r="J37" i="10" s="1"/>
  <c r="J52" i="10" s="1"/>
  <c r="I92" i="4" s="1"/>
  <c r="D33" i="7"/>
  <c r="D39" i="7" s="1"/>
  <c r="B67" i="4" s="1"/>
  <c r="I39" i="6"/>
  <c r="G55" i="4" s="1"/>
  <c r="I37" i="6"/>
  <c r="E40" i="9"/>
  <c r="E49" i="9" s="1"/>
  <c r="D69" i="4" s="1"/>
  <c r="D83" i="2"/>
  <c r="I25" i="5"/>
  <c r="I37" i="5"/>
  <c r="I49" i="5"/>
  <c r="I12" i="5"/>
  <c r="I76" i="2"/>
  <c r="I81" i="2" s="1"/>
  <c r="C81" i="2"/>
  <c r="H33" i="8" l="1"/>
  <c r="H39" i="8" s="1"/>
  <c r="G68" i="4" s="1"/>
  <c r="V21" i="8"/>
  <c r="V41" i="8"/>
  <c r="W21" i="6"/>
  <c r="D93" i="4"/>
  <c r="N39" i="6"/>
  <c r="L55" i="4" s="1"/>
  <c r="N37" i="6"/>
  <c r="H32" i="8"/>
  <c r="S83" i="2"/>
  <c r="H34" i="6"/>
  <c r="H40" i="6" s="1"/>
  <c r="F66" i="4" s="1"/>
  <c r="T22" i="6"/>
  <c r="W22" i="6" s="1"/>
  <c r="N38" i="7"/>
  <c r="L56" i="4" s="1"/>
  <c r="N36" i="7"/>
  <c r="N43" i="7" s="1"/>
  <c r="S21" i="8"/>
  <c r="H33" i="6"/>
  <c r="T21" i="6"/>
  <c r="K34" i="10"/>
  <c r="K40" i="10" s="1"/>
  <c r="K49" i="10" s="1"/>
  <c r="J70" i="4" s="1"/>
  <c r="K31" i="10"/>
  <c r="K37" i="10" s="1"/>
  <c r="K52" i="10" s="1"/>
  <c r="J92" i="4" s="1"/>
  <c r="K33" i="10"/>
  <c r="K35" i="10"/>
  <c r="K41" i="10" s="1"/>
  <c r="K50" i="10" s="1"/>
  <c r="J81" i="4" s="1"/>
  <c r="S20" i="8"/>
  <c r="V20" i="8" s="1"/>
  <c r="E35" i="10"/>
  <c r="E41" i="10" s="1"/>
  <c r="E50" i="10" s="1"/>
  <c r="D81" i="4" s="1"/>
  <c r="E31" i="10"/>
  <c r="E37" i="10" s="1"/>
  <c r="E52" i="10" s="1"/>
  <c r="D92" i="4" s="1"/>
  <c r="E34" i="10"/>
  <c r="E40" i="10" s="1"/>
  <c r="E49" i="10" s="1"/>
  <c r="D70" i="4" s="1"/>
  <c r="D71" i="4" s="1"/>
  <c r="E33" i="10"/>
  <c r="E39" i="10" s="1"/>
  <c r="E46" i="10" s="1"/>
  <c r="S76" i="2"/>
  <c r="H33" i="7"/>
  <c r="H39" i="7" s="1"/>
  <c r="F67" i="4" s="1"/>
  <c r="S67" i="4" s="1"/>
  <c r="T21" i="7"/>
  <c r="W21" i="7" s="1"/>
  <c r="K36" i="8"/>
  <c r="K43" i="8" s="1"/>
  <c r="H32" i="7"/>
  <c r="T20" i="7"/>
  <c r="W20" i="7" s="1"/>
  <c r="S81" i="2"/>
  <c r="I93" i="4"/>
  <c r="G41" i="10"/>
  <c r="G50" i="10" s="1"/>
  <c r="F81" i="4" s="1"/>
  <c r="U35" i="10"/>
  <c r="E93" i="4"/>
  <c r="G37" i="9"/>
  <c r="G52" i="9" s="1"/>
  <c r="F91" i="4" s="1"/>
  <c r="G39" i="10"/>
  <c r="U33" i="10"/>
  <c r="G37" i="10"/>
  <c r="G52" i="10" s="1"/>
  <c r="F92" i="4" s="1"/>
  <c r="U31" i="10"/>
  <c r="V70" i="4"/>
  <c r="G41" i="9"/>
  <c r="G50" i="9" s="1"/>
  <c r="F80" i="4" s="1"/>
  <c r="G40" i="9"/>
  <c r="G49" i="9" s="1"/>
  <c r="F69" i="4" s="1"/>
  <c r="H93" i="4"/>
  <c r="J93" i="4"/>
  <c r="U34" i="10"/>
  <c r="S33" i="8"/>
  <c r="T30" i="8" s="1"/>
  <c r="V67" i="4"/>
  <c r="C28" i="5" s="1"/>
  <c r="H28" i="5" s="1"/>
  <c r="J40" i="6"/>
  <c r="H66" i="4" s="1"/>
  <c r="H71" i="4" s="1"/>
  <c r="S68" i="4"/>
  <c r="R68" i="4"/>
  <c r="V68" i="4"/>
  <c r="C40" i="5" s="1"/>
  <c r="H40" i="5" s="1"/>
  <c r="L39" i="6"/>
  <c r="J55" i="4" s="1"/>
  <c r="D37" i="6"/>
  <c r="V20" i="7"/>
  <c r="V21" i="6"/>
  <c r="M34" i="6"/>
  <c r="M40" i="6" s="1"/>
  <c r="K66" i="4" s="1"/>
  <c r="U66" i="4" s="1"/>
  <c r="B16" i="5" s="1"/>
  <c r="V22" i="6"/>
  <c r="V21" i="7"/>
  <c r="U43" i="8"/>
  <c r="J71" i="4"/>
  <c r="J82" i="4"/>
  <c r="U57" i="4"/>
  <c r="B28" i="5"/>
  <c r="G28" i="5" s="1"/>
  <c r="M35" i="10"/>
  <c r="M41" i="10" s="1"/>
  <c r="M50" i="10" s="1"/>
  <c r="L81" i="4" s="1"/>
  <c r="M34" i="10"/>
  <c r="M40" i="10" s="1"/>
  <c r="M49" i="10" s="1"/>
  <c r="L70" i="4" s="1"/>
  <c r="M33" i="10"/>
  <c r="M39" i="10" s="1"/>
  <c r="L43" i="9"/>
  <c r="L39" i="9"/>
  <c r="L48" i="9" s="1"/>
  <c r="K58" i="4" s="1"/>
  <c r="G43" i="10"/>
  <c r="E82" i="4"/>
  <c r="O36" i="7"/>
  <c r="O43" i="7" s="1"/>
  <c r="O38" i="7"/>
  <c r="M56" i="4" s="1"/>
  <c r="E71" i="4"/>
  <c r="M33" i="9"/>
  <c r="T33" i="9" s="1"/>
  <c r="M35" i="9"/>
  <c r="M41" i="9" s="1"/>
  <c r="M50" i="9" s="1"/>
  <c r="L80" i="4" s="1"/>
  <c r="U80" i="4" s="1"/>
  <c r="M34" i="9"/>
  <c r="M31" i="9"/>
  <c r="M71" i="4"/>
  <c r="K38" i="7"/>
  <c r="I56" i="4" s="1"/>
  <c r="K36" i="7"/>
  <c r="K43" i="7" s="1"/>
  <c r="W43" i="7" s="1"/>
  <c r="F38" i="7"/>
  <c r="D56" i="4" s="1"/>
  <c r="F36" i="7"/>
  <c r="I39" i="10"/>
  <c r="I43" i="10"/>
  <c r="C40" i="10"/>
  <c r="C49" i="10" s="1"/>
  <c r="B70" i="4" s="1"/>
  <c r="K46" i="9"/>
  <c r="K54" i="9" s="1"/>
  <c r="K48" i="9"/>
  <c r="J58" i="4" s="1"/>
  <c r="C39" i="10"/>
  <c r="F39" i="6"/>
  <c r="D55" i="4" s="1"/>
  <c r="F37" i="6"/>
  <c r="G39" i="9"/>
  <c r="G43" i="9"/>
  <c r="F48" i="10"/>
  <c r="E59" i="4" s="1"/>
  <c r="F46" i="10"/>
  <c r="I71" i="4"/>
  <c r="D34" i="10"/>
  <c r="D40" i="10" s="1"/>
  <c r="D49" i="10" s="1"/>
  <c r="C70" i="4" s="1"/>
  <c r="D35" i="10"/>
  <c r="D41" i="10" s="1"/>
  <c r="D50" i="10" s="1"/>
  <c r="C81" i="4" s="1"/>
  <c r="C82" i="4" s="1"/>
  <c r="D31" i="10"/>
  <c r="D37" i="10" s="1"/>
  <c r="D52" i="10" s="1"/>
  <c r="C92" i="4" s="1"/>
  <c r="C93" i="4" s="1"/>
  <c r="D33" i="10"/>
  <c r="D46" i="9"/>
  <c r="D48" i="9"/>
  <c r="C58" i="4" s="1"/>
  <c r="D38" i="7"/>
  <c r="B56" i="4" s="1"/>
  <c r="D36" i="7"/>
  <c r="D82" i="4"/>
  <c r="C39" i="9"/>
  <c r="J39" i="9"/>
  <c r="J43" i="9"/>
  <c r="E21" i="6"/>
  <c r="E22" i="6"/>
  <c r="F48" i="9"/>
  <c r="E58" i="4" s="1"/>
  <c r="F46" i="9"/>
  <c r="C37" i="10"/>
  <c r="C52" i="10" s="1"/>
  <c r="B92" i="4" s="1"/>
  <c r="B40" i="5"/>
  <c r="E48" i="10"/>
  <c r="D59" i="4" s="1"/>
  <c r="H38" i="8"/>
  <c r="G57" i="4" s="1"/>
  <c r="B39" i="5" s="1"/>
  <c r="H36" i="8"/>
  <c r="H43" i="8" s="1"/>
  <c r="V43" i="8" s="1"/>
  <c r="C41" i="10"/>
  <c r="C50" i="10" s="1"/>
  <c r="B81" i="4" s="1"/>
  <c r="J39" i="6"/>
  <c r="H55" i="4" s="1"/>
  <c r="J37" i="6"/>
  <c r="H35" i="9"/>
  <c r="U35" i="9" s="1"/>
  <c r="H33" i="9"/>
  <c r="U33" i="9" s="1"/>
  <c r="H34" i="9"/>
  <c r="U34" i="9" s="1"/>
  <c r="H31" i="9"/>
  <c r="H37" i="9" s="1"/>
  <c r="H52" i="9" s="1"/>
  <c r="G91" i="4" s="1"/>
  <c r="G93" i="4" s="1"/>
  <c r="H39" i="10"/>
  <c r="H43" i="10"/>
  <c r="D38" i="8"/>
  <c r="C57" i="4" s="1"/>
  <c r="D36" i="8"/>
  <c r="I82" i="4"/>
  <c r="N39" i="9"/>
  <c r="N43" i="9"/>
  <c r="C41" i="9"/>
  <c r="C50" i="9" s="1"/>
  <c r="B80" i="4" s="1"/>
  <c r="C40" i="9"/>
  <c r="C49" i="9" s="1"/>
  <c r="B69" i="4" s="1"/>
  <c r="M39" i="6"/>
  <c r="K55" i="4" s="1"/>
  <c r="M82" i="4"/>
  <c r="E48" i="9"/>
  <c r="D58" i="4" s="1"/>
  <c r="E46" i="9"/>
  <c r="L33" i="10"/>
  <c r="L34" i="10"/>
  <c r="L31" i="10"/>
  <c r="L35" i="10"/>
  <c r="I43" i="9"/>
  <c r="I39" i="9"/>
  <c r="G48" i="10"/>
  <c r="F59" i="4" s="1"/>
  <c r="J39" i="10"/>
  <c r="J43" i="10"/>
  <c r="H82" i="4"/>
  <c r="C37" i="9"/>
  <c r="C52" i="9" s="1"/>
  <c r="B91" i="4" s="1"/>
  <c r="N39" i="10"/>
  <c r="N43" i="10"/>
  <c r="C38" i="8"/>
  <c r="B57" i="4" s="1"/>
  <c r="C36" i="8"/>
  <c r="R67" i="4" l="1"/>
  <c r="T33" i="7"/>
  <c r="U30" i="7" s="1"/>
  <c r="K43" i="10"/>
  <c r="K39" i="10"/>
  <c r="U56" i="4"/>
  <c r="B27" i="5" s="1"/>
  <c r="B30" i="5" s="1"/>
  <c r="B93" i="4"/>
  <c r="V43" i="7"/>
  <c r="G46" i="10"/>
  <c r="G54" i="10" s="1"/>
  <c r="H38" i="7"/>
  <c r="F56" i="4" s="1"/>
  <c r="H36" i="7"/>
  <c r="H43" i="7" s="1"/>
  <c r="H37" i="6"/>
  <c r="H39" i="6"/>
  <c r="F55" i="4" s="1"/>
  <c r="R55" i="4" s="1"/>
  <c r="R56" i="4"/>
  <c r="V57" i="4"/>
  <c r="C39" i="5" s="1"/>
  <c r="C42" i="5" s="1"/>
  <c r="U43" i="10"/>
  <c r="F82" i="4"/>
  <c r="F71" i="4"/>
  <c r="V92" i="4"/>
  <c r="U31" i="9"/>
  <c r="R81" i="4"/>
  <c r="V81" i="4"/>
  <c r="F93" i="4"/>
  <c r="V91" i="4"/>
  <c r="C51" i="5" s="1"/>
  <c r="S55" i="4"/>
  <c r="S57" i="4"/>
  <c r="V56" i="4"/>
  <c r="C27" i="5" s="1"/>
  <c r="C30" i="5" s="1"/>
  <c r="S56" i="4"/>
  <c r="T34" i="6"/>
  <c r="R57" i="4"/>
  <c r="V66" i="4"/>
  <c r="R66" i="4"/>
  <c r="S66" i="4"/>
  <c r="U55" i="4"/>
  <c r="B15" i="5" s="1"/>
  <c r="B18" i="5" s="1"/>
  <c r="M37" i="6"/>
  <c r="T35" i="9"/>
  <c r="T33" i="10"/>
  <c r="V33" i="10" s="1"/>
  <c r="C72" i="5"/>
  <c r="L37" i="10"/>
  <c r="L52" i="10" s="1"/>
  <c r="K92" i="4" s="1"/>
  <c r="S92" i="4" s="1"/>
  <c r="T31" i="10"/>
  <c r="I28" i="5"/>
  <c r="M37" i="9"/>
  <c r="M52" i="9" s="1"/>
  <c r="L91" i="4" s="1"/>
  <c r="R91" i="4" s="1"/>
  <c r="T31" i="9"/>
  <c r="M40" i="9"/>
  <c r="M49" i="9" s="1"/>
  <c r="L69" i="4" s="1"/>
  <c r="U69" i="4" s="1"/>
  <c r="T34" i="9"/>
  <c r="D39" i="10"/>
  <c r="D48" i="10" s="1"/>
  <c r="C59" i="4" s="1"/>
  <c r="L41" i="10"/>
  <c r="L50" i="10" s="1"/>
  <c r="K81" i="4" s="1"/>
  <c r="S81" i="4" s="1"/>
  <c r="T35" i="10"/>
  <c r="L40" i="10"/>
  <c r="L49" i="10" s="1"/>
  <c r="K70" i="4" s="1"/>
  <c r="T34" i="10"/>
  <c r="B42" i="5"/>
  <c r="L46" i="9"/>
  <c r="L54" i="9" s="1"/>
  <c r="L82" i="4"/>
  <c r="M43" i="10"/>
  <c r="E60" i="4"/>
  <c r="U20" i="7"/>
  <c r="T20" i="8"/>
  <c r="B71" i="4"/>
  <c r="M39" i="9"/>
  <c r="M43" i="9"/>
  <c r="T43" i="9" s="1"/>
  <c r="G39" i="5"/>
  <c r="H41" i="9"/>
  <c r="H50" i="9" s="1"/>
  <c r="G80" i="4" s="1"/>
  <c r="S80" i="4" s="1"/>
  <c r="B82" i="4"/>
  <c r="E34" i="6"/>
  <c r="E40" i="6" s="1"/>
  <c r="C66" i="4" s="1"/>
  <c r="C46" i="9"/>
  <c r="C48" i="9"/>
  <c r="B58" i="4" s="1"/>
  <c r="E33" i="6"/>
  <c r="I48" i="10"/>
  <c r="H59" i="4" s="1"/>
  <c r="I46" i="10"/>
  <c r="I54" i="10" s="1"/>
  <c r="N46" i="10"/>
  <c r="N54" i="10" s="1"/>
  <c r="N48" i="10"/>
  <c r="M59" i="4" s="1"/>
  <c r="N46" i="9"/>
  <c r="N54" i="9" s="1"/>
  <c r="N48" i="9"/>
  <c r="M58" i="4" s="1"/>
  <c r="G48" i="9"/>
  <c r="F58" i="4" s="1"/>
  <c r="G46" i="9"/>
  <c r="G54" i="9" s="1"/>
  <c r="I46" i="9"/>
  <c r="I54" i="9" s="1"/>
  <c r="I48" i="9"/>
  <c r="H58" i="4" s="1"/>
  <c r="J46" i="10"/>
  <c r="J54" i="10" s="1"/>
  <c r="J48" i="10"/>
  <c r="I59" i="4" s="1"/>
  <c r="H48" i="10"/>
  <c r="G59" i="4" s="1"/>
  <c r="H46" i="10"/>
  <c r="H54" i="10" s="1"/>
  <c r="D28" i="5"/>
  <c r="L39" i="10"/>
  <c r="L43" i="10"/>
  <c r="V33" i="9"/>
  <c r="M46" i="10"/>
  <c r="M54" i="10" s="1"/>
  <c r="M48" i="10"/>
  <c r="L59" i="4" s="1"/>
  <c r="H40" i="9"/>
  <c r="H49" i="9" s="1"/>
  <c r="G69" i="4" s="1"/>
  <c r="V69" i="4" s="1"/>
  <c r="G40" i="5"/>
  <c r="I40" i="5" s="1"/>
  <c r="D40" i="5"/>
  <c r="C67" i="5"/>
  <c r="G16" i="5"/>
  <c r="D60" i="4"/>
  <c r="H43" i="9"/>
  <c r="U43" i="9" s="1"/>
  <c r="H39" i="9"/>
  <c r="J48" i="9"/>
  <c r="I58" i="4" s="1"/>
  <c r="J46" i="9"/>
  <c r="J54" i="9" s="1"/>
  <c r="C46" i="10"/>
  <c r="C48" i="10"/>
  <c r="B59" i="4" s="1"/>
  <c r="K46" i="10" l="1"/>
  <c r="K54" i="10" s="1"/>
  <c r="K48" i="10"/>
  <c r="J59" i="4" s="1"/>
  <c r="J60" i="4" s="1"/>
  <c r="V55" i="4"/>
  <c r="U54" i="10"/>
  <c r="R80" i="4"/>
  <c r="R69" i="4"/>
  <c r="S70" i="4"/>
  <c r="R70" i="4"/>
  <c r="V59" i="4"/>
  <c r="F60" i="4"/>
  <c r="C57" i="5"/>
  <c r="H57" i="5" s="1"/>
  <c r="U91" i="4"/>
  <c r="B51" i="5" s="1"/>
  <c r="G51" i="5" s="1"/>
  <c r="L93" i="4"/>
  <c r="U92" i="4"/>
  <c r="B67" i="5" s="1"/>
  <c r="B68" i="5" s="1"/>
  <c r="G68" i="5" s="1"/>
  <c r="K93" i="4"/>
  <c r="S91" i="4"/>
  <c r="R92" i="4"/>
  <c r="S69" i="4"/>
  <c r="V80" i="4"/>
  <c r="V31" i="10"/>
  <c r="L71" i="4"/>
  <c r="V35" i="10"/>
  <c r="B52" i="5"/>
  <c r="G52" i="5" s="1"/>
  <c r="D46" i="10"/>
  <c r="G27" i="5"/>
  <c r="G30" i="5" s="1"/>
  <c r="K71" i="4"/>
  <c r="U70" i="4"/>
  <c r="B72" i="5" s="1"/>
  <c r="G72" i="5" s="1"/>
  <c r="K82" i="4"/>
  <c r="U81" i="4"/>
  <c r="B73" i="5" s="1"/>
  <c r="G73" i="5" s="1"/>
  <c r="C56" i="5"/>
  <c r="H56" i="5" s="1"/>
  <c r="C73" i="5"/>
  <c r="H73" i="5" s="1"/>
  <c r="T43" i="10"/>
  <c r="V43" i="10" s="1"/>
  <c r="V34" i="10"/>
  <c r="G42" i="5"/>
  <c r="D39" i="5"/>
  <c r="D42" i="5" s="1"/>
  <c r="D27" i="5"/>
  <c r="D30" i="5" s="1"/>
  <c r="V35" i="9"/>
  <c r="V34" i="9"/>
  <c r="I60" i="4"/>
  <c r="H60" i="4"/>
  <c r="M46" i="9"/>
  <c r="M54" i="9" s="1"/>
  <c r="T54" i="9" s="1"/>
  <c r="M48" i="9"/>
  <c r="L58" i="4" s="1"/>
  <c r="V31" i="9"/>
  <c r="V43" i="9"/>
  <c r="M60" i="4"/>
  <c r="C68" i="5"/>
  <c r="H67" i="5"/>
  <c r="G15" i="5"/>
  <c r="G18" i="5" s="1"/>
  <c r="U21" i="6"/>
  <c r="G82" i="4"/>
  <c r="R82" i="4" s="1"/>
  <c r="B57" i="5"/>
  <c r="H48" i="9"/>
  <c r="G58" i="4" s="1"/>
  <c r="H46" i="9"/>
  <c r="H54" i="9" s="1"/>
  <c r="U54" i="9" s="1"/>
  <c r="H51" i="5"/>
  <c r="C52" i="5"/>
  <c r="H52" i="5" s="1"/>
  <c r="H72" i="5"/>
  <c r="H39" i="5"/>
  <c r="H42" i="5" s="1"/>
  <c r="E39" i="6"/>
  <c r="C55" i="4" s="1"/>
  <c r="E37" i="6"/>
  <c r="U31" i="6"/>
  <c r="C71" i="4"/>
  <c r="C16" i="5"/>
  <c r="H27" i="5"/>
  <c r="H30" i="5" s="1"/>
  <c r="B56" i="5"/>
  <c r="G71" i="4"/>
  <c r="B60" i="4"/>
  <c r="L48" i="10"/>
  <c r="K59" i="4" s="1"/>
  <c r="S59" i="4" s="1"/>
  <c r="L46" i="10"/>
  <c r="L54" i="10" s="1"/>
  <c r="D51" i="5"/>
  <c r="D67" i="5" l="1"/>
  <c r="G67" i="5"/>
  <c r="S82" i="4"/>
  <c r="R58" i="4"/>
  <c r="V58" i="4"/>
  <c r="R59" i="4"/>
  <c r="S58" i="4"/>
  <c r="S71" i="4"/>
  <c r="R71" i="4"/>
  <c r="I72" i="5"/>
  <c r="I73" i="5"/>
  <c r="D72" i="5"/>
  <c r="K60" i="4"/>
  <c r="U59" i="4"/>
  <c r="B71" i="5" s="1"/>
  <c r="C55" i="5"/>
  <c r="C58" i="5" s="1"/>
  <c r="U58" i="4"/>
  <c r="B55" i="5" s="1"/>
  <c r="B58" i="5" s="1"/>
  <c r="D73" i="5"/>
  <c r="T54" i="10"/>
  <c r="V54" i="10" s="1"/>
  <c r="I67" i="5"/>
  <c r="I51" i="5"/>
  <c r="D78" i="5"/>
  <c r="I39" i="5"/>
  <c r="I42" i="5" s="1"/>
  <c r="I27" i="5"/>
  <c r="I30" i="5" s="1"/>
  <c r="L60" i="4"/>
  <c r="C71" i="5"/>
  <c r="D56" i="5"/>
  <c r="G56" i="5"/>
  <c r="I56" i="5" s="1"/>
  <c r="H68" i="5"/>
  <c r="I68" i="5" s="1"/>
  <c r="D68" i="5"/>
  <c r="I52" i="5"/>
  <c r="G57" i="5"/>
  <c r="I57" i="5" s="1"/>
  <c r="D57" i="5"/>
  <c r="C60" i="4"/>
  <c r="C15" i="5"/>
  <c r="C18" i="5" s="1"/>
  <c r="H16" i="5"/>
  <c r="I16" i="5" s="1"/>
  <c r="D16" i="5"/>
  <c r="D52" i="5"/>
  <c r="V54" i="9"/>
  <c r="H55" i="5"/>
  <c r="H58" i="5" s="1"/>
  <c r="G60" i="4"/>
  <c r="R60" i="4" l="1"/>
  <c r="S60" i="4"/>
  <c r="B74" i="5"/>
  <c r="G71" i="5"/>
  <c r="G74" i="5" s="1"/>
  <c r="D71" i="5"/>
  <c r="D74" i="5" s="1"/>
  <c r="C74" i="5"/>
  <c r="H71" i="5"/>
  <c r="H15" i="5"/>
  <c r="H18" i="5" s="1"/>
  <c r="D15" i="5"/>
  <c r="D18" i="5" s="1"/>
  <c r="G55" i="5"/>
  <c r="G58" i="5" s="1"/>
  <c r="D55" i="5"/>
  <c r="D58" i="5" s="1"/>
  <c r="D77" i="5" l="1"/>
  <c r="I71" i="5"/>
  <c r="I74" i="5" s="1"/>
  <c r="H74" i="5"/>
  <c r="I55" i="5"/>
  <c r="I58" i="5" s="1"/>
  <c r="I15" i="5"/>
  <c r="I18" i="5" s="1"/>
  <c r="I78" i="5" l="1"/>
  <c r="V93" i="4" l="1"/>
  <c r="S93" i="4"/>
  <c r="R93" i="4"/>
</calcChain>
</file>

<file path=xl/sharedStrings.xml><?xml version="1.0" encoding="utf-8"?>
<sst xmlns="http://schemas.openxmlformats.org/spreadsheetml/2006/main" count="833" uniqueCount="224">
  <si>
    <t>Row Labels</t>
  </si>
  <si>
    <t>Grand Total</t>
  </si>
  <si>
    <t>RG-Residential Total</t>
  </si>
  <si>
    <t>CB-Commercial Total</t>
  </si>
  <si>
    <t>GP-General Power Total</t>
  </si>
  <si>
    <t>SH-Small Heating</t>
  </si>
  <si>
    <t>TEB-Total Electric Bldg Total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</si>
  <si>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</si>
  <si>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</si>
  <si>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</si>
  <si>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</si>
  <si>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</si>
  <si>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</si>
  <si>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</si>
  <si>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</si>
  <si>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</si>
  <si>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</si>
  <si>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</si>
  <si>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</si>
  <si>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</si>
  <si>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Residential General</t>
  </si>
  <si>
    <t>Sales (MWh)</t>
  </si>
  <si>
    <t>WN Sales (MWh)</t>
  </si>
  <si>
    <t>Custs</t>
  </si>
  <si>
    <t>kWh per Cust</t>
  </si>
  <si>
    <t>WN kWh per Cust</t>
  </si>
  <si>
    <t>WN Sales  (MWh) Cust Norm</t>
  </si>
  <si>
    <t>Commercial (CB)</t>
  </si>
  <si>
    <t xml:space="preserve">General Power </t>
  </si>
  <si>
    <t>Small Heating</t>
  </si>
  <si>
    <t>Total Electric Building</t>
  </si>
  <si>
    <t>Cycle - Weighted Average Use - Load Research Data</t>
  </si>
  <si>
    <t>Cycle - Weighted Degree-Days</t>
  </si>
  <si>
    <t>Cycle - Weighted Wthr Nrm Average Use - Load Research Data</t>
  </si>
  <si>
    <t>Weather Adjustment Ratios</t>
  </si>
  <si>
    <t>Date</t>
  </si>
  <si>
    <t>ReskWh_Sum</t>
  </si>
  <si>
    <t>ComkWh_Sum</t>
  </si>
  <si>
    <t>GPkWh_Sum</t>
  </si>
  <si>
    <t>SHkWh_Sum</t>
  </si>
  <si>
    <t>TEBkWh_Sum</t>
  </si>
  <si>
    <t>ResImpact_Sum</t>
  </si>
  <si>
    <t>ComImpact_Sum</t>
  </si>
  <si>
    <t>GPImpact_Sum</t>
  </si>
  <si>
    <t>SHImpact_Sum</t>
  </si>
  <si>
    <t>TEBImpact_Sum</t>
  </si>
  <si>
    <t>ReskWh_WN</t>
  </si>
  <si>
    <t>ComkWh_WN</t>
  </si>
  <si>
    <t>GPkWh_WN</t>
  </si>
  <si>
    <t>SHkWh_WN</t>
  </si>
  <si>
    <t>TEBkWh_WN</t>
  </si>
  <si>
    <t>Res</t>
  </si>
  <si>
    <t>Com</t>
  </si>
  <si>
    <t>GP</t>
  </si>
  <si>
    <t>SH</t>
  </si>
  <si>
    <t>TEB</t>
  </si>
  <si>
    <t>Ratios</t>
  </si>
  <si>
    <t>Test-Year Cycle-Weighted Inputs calculated using MO_WthrImpacts.LTM</t>
  </si>
  <si>
    <t>Weather Adjustment Ratios = Cycle-Weighted LR Wthr Nrm Avg Use / Cycle Weighted LR Average Use</t>
  </si>
  <si>
    <t>Ratios are applied to test-year billed sales average use</t>
  </si>
  <si>
    <t xml:space="preserve">Customers  </t>
  </si>
  <si>
    <t>12 mo average</t>
  </si>
  <si>
    <t>kWh/ customer</t>
  </si>
  <si>
    <t>End of Year Customer Count</t>
  </si>
  <si>
    <t>Rate</t>
  </si>
  <si>
    <t>WN Revenue</t>
  </si>
  <si>
    <t>Summer</t>
  </si>
  <si>
    <t>Winter</t>
  </si>
  <si>
    <t>RG-Residential</t>
  </si>
  <si>
    <t># of Bills</t>
  </si>
  <si>
    <t>KWH Blocking</t>
  </si>
  <si>
    <t xml:space="preserve">  First 600 kWh</t>
  </si>
  <si>
    <t xml:space="preserve">  Over 600 kWh</t>
  </si>
  <si>
    <t>TOTAL kWh</t>
  </si>
  <si>
    <t>TCJA</t>
  </si>
  <si>
    <t>EECR</t>
  </si>
  <si>
    <t>CB-Commercial</t>
  </si>
  <si>
    <t xml:space="preserve">  First 700 kWh</t>
  </si>
  <si>
    <t xml:space="preserve">  Over 700 kWh</t>
  </si>
  <si>
    <t>GP-General Power</t>
  </si>
  <si>
    <t>Demand Charge</t>
  </si>
  <si>
    <t>Facilities Demand Charge</t>
  </si>
  <si>
    <t>Metered Demand</t>
  </si>
  <si>
    <t xml:space="preserve">  First 150 Hrs Use</t>
  </si>
  <si>
    <t xml:space="preserve">  Next 200 Hrs Use</t>
  </si>
  <si>
    <t xml:space="preserve">  All Additional kWh</t>
  </si>
  <si>
    <t>TEB-Total Electric Bldg</t>
  </si>
  <si>
    <t>Block 1</t>
  </si>
  <si>
    <t>Block 2</t>
  </si>
  <si>
    <t>Block 3</t>
  </si>
  <si>
    <t>TY Per 1</t>
  </si>
  <si>
    <t>TY Per 2</t>
  </si>
  <si>
    <t>TY Per 3</t>
  </si>
  <si>
    <t>TY Per 4</t>
  </si>
  <si>
    <t>TY Per 5</t>
  </si>
  <si>
    <t>TY Per 6</t>
  </si>
  <si>
    <t>TY Per 7</t>
  </si>
  <si>
    <t>TY Per 8</t>
  </si>
  <si>
    <t>TY Per 9</t>
  </si>
  <si>
    <t>TY Per 10</t>
  </si>
  <si>
    <t>TY Per 11</t>
  </si>
  <si>
    <t>TY Per 12</t>
  </si>
  <si>
    <t>RG</t>
  </si>
  <si>
    <t>Block 1 Bills</t>
  </si>
  <si>
    <t>Block 2 Bills</t>
  </si>
  <si>
    <t>Block 1 Adjustment</t>
  </si>
  <si>
    <t>Block 2 Adjustment</t>
  </si>
  <si>
    <t>Block 1 Sales mWh</t>
  </si>
  <si>
    <t>Block 2 Sales mWh</t>
  </si>
  <si>
    <t xml:space="preserve">Block 1 Normalized </t>
  </si>
  <si>
    <t xml:space="preserve">Block 2 Normalized </t>
  </si>
  <si>
    <t>Customers</t>
  </si>
  <si>
    <t>Average Per Cust WN Sales Block 1</t>
  </si>
  <si>
    <t>Average Per Cust WN Sales Block 2</t>
  </si>
  <si>
    <t>CB</t>
  </si>
  <si>
    <t>WN adjustment</t>
  </si>
  <si>
    <t>kW (JJ)</t>
  </si>
  <si>
    <t>kWh (JJ)</t>
  </si>
  <si>
    <t>kWh/kW ratio</t>
  </si>
  <si>
    <t>kW Sales</t>
  </si>
  <si>
    <t>kWh Block 1</t>
  </si>
  <si>
    <t>kWh Block 2</t>
  </si>
  <si>
    <t>kWh Block 3</t>
  </si>
  <si>
    <t>WN Adj kW Sales</t>
  </si>
  <si>
    <t>WN Adj kWh Block 1</t>
  </si>
  <si>
    <t>WN Adj kWh Block 2</t>
  </si>
  <si>
    <t>WN Adj kWh Block 3</t>
  </si>
  <si>
    <t>WN kW Sales</t>
  </si>
  <si>
    <t>WN kWh Block 1</t>
  </si>
  <si>
    <t>WN kWh Block 2</t>
  </si>
  <si>
    <t>WN kWh Block 3</t>
  </si>
  <si>
    <t>Average Per Cust WN Sales Block 3</t>
  </si>
  <si>
    <t>kW</t>
  </si>
  <si>
    <t>WN Consumption Per Cust</t>
  </si>
  <si>
    <t>WN Consumption Per Cust kWh</t>
  </si>
  <si>
    <t>Average Per Cust WN kW</t>
  </si>
  <si>
    <t xml:space="preserve">Summer </t>
  </si>
  <si>
    <t>WN Consumption Per Cust kWh for TCJA</t>
  </si>
  <si>
    <t>Annualization Change</t>
  </si>
  <si>
    <t>Demand kW Total</t>
  </si>
  <si>
    <t>kWh Total</t>
  </si>
  <si>
    <t>The Empire District Electric Company</t>
  </si>
  <si>
    <t>Missouri Jurisdiction</t>
  </si>
  <si>
    <t>Docket No. ER-2019-0374</t>
  </si>
  <si>
    <t>kWh Blocking</t>
  </si>
  <si>
    <t>TOTAL</t>
  </si>
  <si>
    <t>Commercial</t>
  </si>
  <si>
    <t>FAC</t>
  </si>
  <si>
    <t>Customer Charge</t>
  </si>
  <si>
    <t>Consumption</t>
  </si>
  <si>
    <t>Upper</t>
  </si>
  <si>
    <t>lower</t>
  </si>
  <si>
    <t>Block</t>
  </si>
  <si>
    <t>Type</t>
  </si>
  <si>
    <t>Descr</t>
  </si>
  <si>
    <t>Count of kWh for consumption</t>
  </si>
  <si>
    <t>Combined</t>
  </si>
  <si>
    <t>WN Adjustment</t>
  </si>
  <si>
    <t>Bill Count - First Block Only</t>
  </si>
  <si>
    <t>Bill Count - First and Second Block</t>
  </si>
  <si>
    <t xml:space="preserve">Total Bills </t>
  </si>
  <si>
    <t>Allocation of WN Adjustment to Block 1</t>
  </si>
  <si>
    <t>Allocation of WN Adjustment to Block 2</t>
  </si>
  <si>
    <t>Allocation of Sales to Block 1</t>
  </si>
  <si>
    <t>Allocation of Sales to Block 2</t>
  </si>
  <si>
    <t>Block 1 Sales</t>
  </si>
  <si>
    <t>Block 2 Sales</t>
  </si>
  <si>
    <t xml:space="preserve">Block 1 WN Sales </t>
  </si>
  <si>
    <t>WN Adjustment to Block 1</t>
  </si>
  <si>
    <t>WN Adjustment to Block 2</t>
  </si>
  <si>
    <t>TY Sales Block 1</t>
  </si>
  <si>
    <t xml:space="preserve">TY Sales Block 1 </t>
  </si>
  <si>
    <t>MWh</t>
  </si>
  <si>
    <t>Bills</t>
  </si>
  <si>
    <t>Percent</t>
  </si>
  <si>
    <t>kWh</t>
  </si>
  <si>
    <t>Low Income Discount (RGL)</t>
  </si>
  <si>
    <t># of Low Income Discounts</t>
  </si>
  <si>
    <t>IS ADJ 14 - Customer Annualization Adjustment</t>
  </si>
  <si>
    <t>IS ADJ 14.1 - Customer Counts</t>
  </si>
  <si>
    <t xml:space="preserve">IS ADJ 14.4 - Residential </t>
  </si>
  <si>
    <t>IS ADJ 14.3 - Test Year Cycle-Weighted Inputs</t>
  </si>
  <si>
    <t>IS ADJ 14.2 - Weather Normalized Sales Estimates</t>
  </si>
  <si>
    <t>IS ADJ 14.5 - Commercial</t>
  </si>
  <si>
    <t>IS ADJ 14.6 - Small Heating</t>
  </si>
  <si>
    <t>IS ADJ 14.7 - General Power</t>
  </si>
  <si>
    <t>IS ADJ 14.8 - Total Electric Building</t>
  </si>
  <si>
    <t>IS ADJ 14.9 - Combined count of kWh for Consumption</t>
  </si>
  <si>
    <t>Source: MO WN Revenue Adjustment, Tab kWh Combined, Cell G8</t>
  </si>
  <si>
    <t>Sales</t>
  </si>
  <si>
    <t>Cycle - Weighted impacts - Load Research Data</t>
  </si>
  <si>
    <t>Transposed Indices</t>
  </si>
  <si>
    <t>Calendar Month Output</t>
  </si>
  <si>
    <t>HDD55</t>
  </si>
  <si>
    <t>NHDD55</t>
  </si>
  <si>
    <t>HDD60</t>
  </si>
  <si>
    <t>NHDD60</t>
  </si>
  <si>
    <t>CDD65</t>
  </si>
  <si>
    <t>NCDD65</t>
  </si>
  <si>
    <t>CalkWh_Res</t>
  </si>
  <si>
    <t>CalkWh_Com</t>
  </si>
  <si>
    <t>CalkWh_GP</t>
  </si>
  <si>
    <t>CalkWh_SH</t>
  </si>
  <si>
    <t>CalkWh_TEB</t>
  </si>
  <si>
    <t>CalImpacts_Res</t>
  </si>
  <si>
    <t>CalImpacts_Com</t>
  </si>
  <si>
    <t>CalImpacts_GP</t>
  </si>
  <si>
    <t>CalImpacts_SH</t>
  </si>
  <si>
    <t>CalImpacts_TEB</t>
  </si>
  <si>
    <t>CalDDs_HDD55</t>
  </si>
  <si>
    <t>CalDDs_NHDD55</t>
  </si>
  <si>
    <t>CalDDs_HDD60</t>
  </si>
  <si>
    <t>CalDDs_NHDD60</t>
  </si>
  <si>
    <t>CalDDs_CDD65</t>
  </si>
  <si>
    <t>CalDDs_NCDD65</t>
  </si>
  <si>
    <t>UpdatePeriod</t>
  </si>
  <si>
    <t xml:space="preserve">IS ADJ 15.11 - Combined Count of Bills </t>
  </si>
  <si>
    <t>Count of bills for rates</t>
  </si>
  <si>
    <t>TY Per 13</t>
  </si>
  <si>
    <t>TY Per 14</t>
  </si>
  <si>
    <t>TY Per 15</t>
  </si>
  <si>
    <t>TY Per 16</t>
  </si>
  <si>
    <t>ER-2019-0374</t>
  </si>
  <si>
    <t>Exhibit 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</si>
</sst>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#,##0.0"/>
    <numFmt numFmtId="169" formatCode="#,##0.000"/>
    <numFmt numFmtId="170" formatCode="_(&quot;$&quot;* #,##0_);_(&quot;$&quot;* \(#,##0\);_(&quot;$&quot;* &quot;-&quot;??_);_(@_)"/>
    <numFmt numFmtId="171" formatCode="_(* #,##0.00000_);_(* \(#,##0.00000\);_(* &quot;-&quot;?????_);_(@_)"/>
    <numFmt numFmtId="172" formatCode="_(* #,##0.000000000_);_(* \(#,##0.00000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</cellStyleXfs>
  <cellXfs count="231">
    <xf numFmtId="0" fontId="0" fillId="0" borderId="0" xfId="0"/>
    <xf numFmtId="0" fontId="2" fillId="0" borderId="0" xfId="0" applyNumberFormat="1" applyFont="1" applyAlignment="1"/>
    <xf numFmtId="0" fontId="0" fillId="0" borderId="0" xfId="0" applyFill="1" applyBorder="1"/>
    <xf numFmtId="164" fontId="3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0" xfId="0" applyFont="1"/>
    <xf numFmtId="164" fontId="3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2" fillId="6" borderId="0" xfId="0" applyNumberFormat="1" applyFont="1" applyFill="1" applyAlignment="1"/>
    <xf numFmtId="0" fontId="3" fillId="6" borderId="0" xfId="0" applyFont="1" applyFill="1"/>
    <xf numFmtId="9" fontId="0" fillId="0" borderId="0" xfId="2" applyFont="1" applyFill="1" applyBorder="1"/>
    <xf numFmtId="0" fontId="3" fillId="0" borderId="0" xfId="0" applyFont="1" applyFill="1" applyBorder="1"/>
    <xf numFmtId="3" fontId="3" fillId="0" borderId="0" xfId="0" applyNumberFormat="1" applyFont="1" applyBorder="1"/>
    <xf numFmtId="0" fontId="2" fillId="6" borderId="0" xfId="0" applyNumberFormat="1" applyFont="1" applyFill="1" applyBorder="1" applyAlignment="1"/>
    <xf numFmtId="0" fontId="3" fillId="6" borderId="0" xfId="0" applyFont="1" applyFill="1" applyBorder="1"/>
    <xf numFmtId="0" fontId="3" fillId="6" borderId="0" xfId="0" applyFont="1" applyFill="1" applyBorder="1" applyAlignment="1">
      <alignment horizontal="center" wrapText="1"/>
    </xf>
    <xf numFmtId="0" fontId="3" fillId="0" borderId="0" xfId="0" applyFont="1" applyBorder="1"/>
    <xf numFmtId="165" fontId="3" fillId="6" borderId="0" xfId="1" applyNumberFormat="1" applyFont="1" applyFill="1" applyBorder="1"/>
    <xf numFmtId="0" fontId="0" fillId="0" borderId="0" xfId="0" applyBorder="1"/>
    <xf numFmtId="0" fontId="3" fillId="7" borderId="0" xfId="0" applyFont="1" applyFill="1"/>
    <xf numFmtId="164" fontId="3" fillId="7" borderId="0" xfId="0" applyNumberFormat="1" applyFont="1" applyFill="1" applyAlignment="1">
      <alignment horizontal="center"/>
    </xf>
    <xf numFmtId="3" fontId="3" fillId="7" borderId="0" xfId="0" applyNumberFormat="1" applyFont="1" applyFill="1"/>
    <xf numFmtId="0" fontId="3" fillId="7" borderId="0" xfId="0" applyFont="1" applyFill="1" applyBorder="1"/>
    <xf numFmtId="164" fontId="3" fillId="7" borderId="0" xfId="0" applyNumberFormat="1" applyFont="1" applyFill="1" applyBorder="1" applyAlignment="1">
      <alignment horizontal="center"/>
    </xf>
    <xf numFmtId="165" fontId="0" fillId="0" borderId="0" xfId="2" applyNumberFormat="1" applyFont="1" applyFill="1" applyBorder="1"/>
    <xf numFmtId="3" fontId="0" fillId="0" borderId="0" xfId="0" applyNumberFormat="1"/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0" borderId="0" xfId="0" applyNumberFormat="1"/>
    <xf numFmtId="3" fontId="0" fillId="0" borderId="10" xfId="0" applyNumberFormat="1" applyBorder="1"/>
    <xf numFmtId="9" fontId="0" fillId="0" borderId="0" xfId="2" applyFont="1"/>
    <xf numFmtId="165" fontId="0" fillId="0" borderId="0" xfId="1" applyNumberFormat="1" applyFont="1"/>
    <xf numFmtId="0" fontId="0" fillId="3" borderId="0" xfId="0" applyFill="1" applyBorder="1" applyAlignment="1">
      <alignment horizontal="center"/>
    </xf>
    <xf numFmtId="0" fontId="0" fillId="3" borderId="0" xfId="0" applyFill="1"/>
    <xf numFmtId="165" fontId="0" fillId="3" borderId="0" xfId="1" applyNumberFormat="1" applyFont="1" applyFill="1" applyBorder="1" applyAlignment="1">
      <alignment horizontal="center"/>
    </xf>
    <xf numFmtId="165" fontId="0" fillId="2" borderId="0" xfId="1" applyNumberFormat="1" applyFont="1" applyFill="1" applyBorder="1" applyAlignment="1">
      <alignment horizontal="center"/>
    </xf>
    <xf numFmtId="0" fontId="0" fillId="2" borderId="0" xfId="0" applyFill="1"/>
    <xf numFmtId="1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3" applyFont="1" applyAlignment="1">
      <alignment horizontal="center"/>
    </xf>
    <xf numFmtId="0" fontId="8" fillId="0" borderId="21" xfId="3" applyFont="1" applyBorder="1" applyAlignment="1">
      <alignment horizontal="center"/>
    </xf>
    <xf numFmtId="0" fontId="8" fillId="0" borderId="22" xfId="3" applyFont="1" applyBorder="1" applyAlignment="1">
      <alignment horizontal="center"/>
    </xf>
    <xf numFmtId="0" fontId="8" fillId="0" borderId="0" xfId="3" applyFont="1"/>
    <xf numFmtId="0" fontId="7" fillId="0" borderId="0" xfId="3" applyFont="1"/>
    <xf numFmtId="165" fontId="8" fillId="0" borderId="0" xfId="1" applyNumberFormat="1" applyFont="1"/>
    <xf numFmtId="0" fontId="8" fillId="0" borderId="0" xfId="3" applyFont="1" applyFill="1" applyAlignment="1">
      <alignment horizontal="center"/>
    </xf>
    <xf numFmtId="0" fontId="8" fillId="0" borderId="0" xfId="3" applyFont="1" applyAlignment="1">
      <alignment horizontal="right"/>
    </xf>
    <xf numFmtId="0" fontId="0" fillId="0" borderId="0" xfId="0" applyFont="1" applyFill="1"/>
    <xf numFmtId="165" fontId="0" fillId="0" borderId="0" xfId="1" applyNumberFormat="1" applyFont="1" applyBorder="1"/>
    <xf numFmtId="165" fontId="8" fillId="0" borderId="21" xfId="1" applyNumberFormat="1" applyFont="1" applyBorder="1" applyAlignment="1">
      <alignment horizontal="center"/>
    </xf>
    <xf numFmtId="165" fontId="8" fillId="0" borderId="22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8" fillId="0" borderId="0" xfId="1" applyNumberFormat="1" applyFont="1" applyFill="1"/>
    <xf numFmtId="165" fontId="0" fillId="0" borderId="10" xfId="1" applyNumberFormat="1" applyFont="1" applyBorder="1"/>
    <xf numFmtId="165" fontId="0" fillId="0" borderId="0" xfId="1" applyNumberFormat="1" applyFont="1" applyAlignment="1">
      <alignment horizontal="right"/>
    </xf>
    <xf numFmtId="165" fontId="0" fillId="0" borderId="21" xfId="1" applyNumberFormat="1" applyFont="1" applyBorder="1"/>
    <xf numFmtId="0" fontId="0" fillId="0" borderId="0" xfId="5" applyFont="1" applyAlignment="1">
      <alignment horizontal="left"/>
    </xf>
    <xf numFmtId="0" fontId="1" fillId="0" borderId="0" xfId="5" applyFont="1" applyAlignment="1">
      <alignment horizontal="left"/>
    </xf>
    <xf numFmtId="0" fontId="7" fillId="0" borderId="0" xfId="3" applyFont="1" applyBorder="1" applyAlignment="1">
      <alignment horizontal="right"/>
    </xf>
    <xf numFmtId="0" fontId="7" fillId="0" borderId="0" xfId="3" applyFont="1" applyFill="1" applyBorder="1" applyAlignment="1">
      <alignment horizontal="center"/>
    </xf>
    <xf numFmtId="44" fontId="8" fillId="0" borderId="0" xfId="4" applyFont="1" applyFill="1" applyAlignment="1">
      <alignment horizontal="center"/>
    </xf>
    <xf numFmtId="44" fontId="7" fillId="0" borderId="0" xfId="4" applyFont="1" applyFill="1" applyBorder="1" applyAlignment="1">
      <alignment horizontal="center"/>
    </xf>
    <xf numFmtId="170" fontId="8" fillId="0" borderId="0" xfId="4" applyNumberFormat="1" applyFont="1"/>
    <xf numFmtId="170" fontId="0" fillId="0" borderId="0" xfId="4" applyNumberFormat="1" applyFont="1"/>
    <xf numFmtId="170" fontId="8" fillId="0" borderId="0" xfId="4" applyNumberFormat="1" applyFont="1" applyFill="1" applyAlignment="1">
      <alignment horizontal="center"/>
    </xf>
    <xf numFmtId="44" fontId="8" fillId="0" borderId="0" xfId="4" applyNumberFormat="1" applyFont="1" applyFill="1" applyAlignment="1">
      <alignment horizontal="center"/>
    </xf>
    <xf numFmtId="0" fontId="7" fillId="0" borderId="0" xfId="3" applyFont="1" applyAlignment="1">
      <alignment horizontal="right"/>
    </xf>
    <xf numFmtId="0" fontId="0" fillId="9" borderId="23" xfId="0" applyFill="1" applyBorder="1"/>
    <xf numFmtId="0" fontId="0" fillId="9" borderId="24" xfId="0" applyFill="1" applyBorder="1"/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9" borderId="25" xfId="0" applyFill="1" applyBorder="1"/>
    <xf numFmtId="0" fontId="0" fillId="0" borderId="10" xfId="0" applyBorder="1"/>
    <xf numFmtId="164" fontId="0" fillId="0" borderId="0" xfId="0" applyNumberFormat="1" applyAlignment="1">
      <alignment horizontal="center"/>
    </xf>
    <xf numFmtId="0" fontId="9" fillId="0" borderId="0" xfId="0" applyFont="1"/>
    <xf numFmtId="166" fontId="0" fillId="0" borderId="0" xfId="2" applyNumberFormat="1" applyFont="1"/>
    <xf numFmtId="165" fontId="3" fillId="7" borderId="0" xfId="1" applyNumberFormat="1" applyFont="1" applyFill="1" applyBorder="1"/>
    <xf numFmtId="0" fontId="0" fillId="0" borderId="0" xfId="0" applyAlignment="1">
      <alignment horizontal="center"/>
    </xf>
    <xf numFmtId="43" fontId="8" fillId="0" borderId="0" xfId="1" applyNumberFormat="1" applyFont="1" applyFill="1" applyAlignment="1">
      <alignment horizontal="center"/>
    </xf>
    <xf numFmtId="171" fontId="8" fillId="0" borderId="0" xfId="4" applyNumberFormat="1" applyFont="1" applyFill="1" applyAlignment="1">
      <alignment horizontal="center"/>
    </xf>
    <xf numFmtId="171" fontId="8" fillId="0" borderId="0" xfId="4" applyNumberFormat="1" applyFont="1" applyFill="1" applyBorder="1" applyAlignment="1">
      <alignment horizontal="center"/>
    </xf>
    <xf numFmtId="0" fontId="6" fillId="0" borderId="0" xfId="0" applyFont="1"/>
    <xf numFmtId="0" fontId="6" fillId="4" borderId="1" xfId="0" applyFont="1" applyFill="1" applyBorder="1" applyAlignment="1">
      <alignment horizontal="right"/>
    </xf>
    <xf numFmtId="0" fontId="6" fillId="5" borderId="3" xfId="0" applyFont="1" applyFill="1" applyBorder="1"/>
    <xf numFmtId="165" fontId="0" fillId="4" borderId="4" xfId="0" applyNumberFormat="1" applyFont="1" applyFill="1" applyBorder="1"/>
    <xf numFmtId="0" fontId="6" fillId="5" borderId="6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6" fillId="5" borderId="8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left"/>
    </xf>
    <xf numFmtId="165" fontId="0" fillId="4" borderId="0" xfId="0" applyNumberFormat="1" applyFont="1" applyFill="1"/>
    <xf numFmtId="165" fontId="6" fillId="5" borderId="8" xfId="0" applyNumberFormat="1" applyFont="1" applyFill="1" applyBorder="1"/>
    <xf numFmtId="3" fontId="0" fillId="4" borderId="0" xfId="1" applyNumberFormat="1" applyFont="1" applyFill="1"/>
    <xf numFmtId="3" fontId="6" fillId="5" borderId="8" xfId="1" applyNumberFormat="1" applyFont="1" applyFill="1" applyBorder="1"/>
    <xf numFmtId="0" fontId="10" fillId="4" borderId="9" xfId="0" applyFont="1" applyFill="1" applyBorder="1" applyAlignment="1">
      <alignment horizontal="left"/>
    </xf>
    <xf numFmtId="3" fontId="10" fillId="4" borderId="10" xfId="1" applyNumberFormat="1" applyFont="1" applyFill="1" applyBorder="1"/>
    <xf numFmtId="3" fontId="10" fillId="5" borderId="11" xfId="1" applyNumberFormat="1" applyFont="1" applyFill="1" applyBorder="1"/>
    <xf numFmtId="0" fontId="0" fillId="4" borderId="9" xfId="0" applyFont="1" applyFill="1" applyBorder="1" applyAlignment="1">
      <alignment horizontal="left"/>
    </xf>
    <xf numFmtId="3" fontId="0" fillId="4" borderId="10" xfId="1" applyNumberFormat="1" applyFont="1" applyFill="1" applyBorder="1"/>
    <xf numFmtId="3" fontId="6" fillId="5" borderId="11" xfId="1" applyNumberFormat="1" applyFont="1" applyFill="1" applyBorder="1"/>
    <xf numFmtId="0" fontId="10" fillId="4" borderId="7" xfId="0" applyFont="1" applyFill="1" applyBorder="1" applyAlignment="1">
      <alignment horizontal="left"/>
    </xf>
    <xf numFmtId="3" fontId="10" fillId="4" borderId="0" xfId="2" applyNumberFormat="1" applyFont="1" applyFill="1"/>
    <xf numFmtId="3" fontId="10" fillId="5" borderId="8" xfId="2" applyNumberFormat="1" applyFont="1" applyFill="1" applyBorder="1"/>
    <xf numFmtId="0" fontId="0" fillId="4" borderId="12" xfId="0" applyFont="1" applyFill="1" applyBorder="1" applyAlignment="1">
      <alignment horizontal="left"/>
    </xf>
    <xf numFmtId="3" fontId="0" fillId="4" borderId="13" xfId="2" applyNumberFormat="1" applyFont="1" applyFill="1" applyBorder="1"/>
    <xf numFmtId="3" fontId="6" fillId="5" borderId="14" xfId="2" applyNumberFormat="1" applyFont="1" applyFill="1" applyBorder="1"/>
    <xf numFmtId="3" fontId="0" fillId="4" borderId="0" xfId="2" applyNumberFormat="1" applyFont="1" applyFill="1"/>
    <xf numFmtId="3" fontId="6" fillId="5" borderId="8" xfId="2" applyNumberFormat="1" applyFont="1" applyFill="1" applyBorder="1"/>
    <xf numFmtId="3" fontId="0" fillId="4" borderId="0" xfId="0" applyNumberFormat="1" applyFont="1" applyFill="1"/>
    <xf numFmtId="3" fontId="6" fillId="5" borderId="8" xfId="0" applyNumberFormat="1" applyFont="1" applyFill="1" applyBorder="1"/>
    <xf numFmtId="3" fontId="0" fillId="0" borderId="0" xfId="0" applyNumberFormat="1" applyFont="1"/>
    <xf numFmtId="0" fontId="11" fillId="4" borderId="7" xfId="0" applyFont="1" applyFill="1" applyBorder="1" applyAlignment="1">
      <alignment horizontal="left"/>
    </xf>
    <xf numFmtId="3" fontId="11" fillId="4" borderId="0" xfId="1" applyNumberFormat="1" applyFont="1" applyFill="1"/>
    <xf numFmtId="3" fontId="10" fillId="5" borderId="8" xfId="1" applyNumberFormat="1" applyFont="1" applyFill="1" applyBorder="1"/>
    <xf numFmtId="43" fontId="0" fillId="0" borderId="0" xfId="1" applyFont="1"/>
    <xf numFmtId="167" fontId="0" fillId="0" borderId="0" xfId="0" applyNumberFormat="1" applyFont="1"/>
    <xf numFmtId="0" fontId="0" fillId="4" borderId="15" xfId="0" applyFont="1" applyFill="1" applyBorder="1" applyAlignment="1">
      <alignment horizontal="left"/>
    </xf>
    <xf numFmtId="3" fontId="0" fillId="4" borderId="16" xfId="1" applyNumberFormat="1" applyFont="1" applyFill="1" applyBorder="1"/>
    <xf numFmtId="3" fontId="6" fillId="5" borderId="17" xfId="1" applyNumberFormat="1" applyFont="1" applyFill="1" applyBorder="1"/>
    <xf numFmtId="43" fontId="0" fillId="0" borderId="0" xfId="0" applyNumberFormat="1" applyFont="1"/>
    <xf numFmtId="0" fontId="10" fillId="4" borderId="4" xfId="0" applyFont="1" applyFill="1" applyBorder="1" applyAlignment="1">
      <alignment horizontal="left"/>
    </xf>
    <xf numFmtId="3" fontId="10" fillId="4" borderId="5" xfId="1" applyNumberFormat="1" applyFont="1" applyFill="1" applyBorder="1"/>
    <xf numFmtId="3" fontId="10" fillId="5" borderId="6" xfId="2" applyNumberFormat="1" applyFont="1" applyFill="1" applyBorder="1"/>
    <xf numFmtId="43" fontId="6" fillId="0" borderId="0" xfId="0" applyNumberFormat="1" applyFont="1"/>
    <xf numFmtId="166" fontId="6" fillId="0" borderId="0" xfId="2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4" fontId="0" fillId="0" borderId="0" xfId="0" applyNumberFormat="1" applyFont="1"/>
    <xf numFmtId="164" fontId="0" fillId="2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0" borderId="0" xfId="0" applyNumberFormat="1" applyFont="1"/>
    <xf numFmtId="0" fontId="0" fillId="3" borderId="0" xfId="0" applyFont="1" applyFill="1"/>
    <xf numFmtId="0" fontId="0" fillId="2" borderId="0" xfId="0" applyFont="1" applyFill="1"/>
    <xf numFmtId="165" fontId="0" fillId="3" borderId="0" xfId="0" applyNumberFormat="1" applyFont="1" applyFill="1"/>
    <xf numFmtId="165" fontId="0" fillId="2" borderId="0" xfId="0" applyNumberFormat="1" applyFont="1" applyFill="1"/>
    <xf numFmtId="0" fontId="8" fillId="0" borderId="0" xfId="3" applyFont="1" applyFill="1"/>
    <xf numFmtId="170" fontId="8" fillId="0" borderId="0" xfId="4" applyNumberFormat="1" applyFont="1" applyFill="1"/>
    <xf numFmtId="170" fontId="0" fillId="0" borderId="0" xfId="4" applyNumberFormat="1" applyFont="1" applyFill="1"/>
    <xf numFmtId="165" fontId="6" fillId="0" borderId="0" xfId="1" applyNumberFormat="1" applyFont="1"/>
    <xf numFmtId="165" fontId="8" fillId="0" borderId="10" xfId="1" applyNumberFormat="1" applyFont="1" applyBorder="1"/>
    <xf numFmtId="165" fontId="7" fillId="0" borderId="10" xfId="1" applyNumberFormat="1" applyFont="1" applyBorder="1"/>
    <xf numFmtId="170" fontId="7" fillId="0" borderId="10" xfId="4" applyNumberFormat="1" applyFont="1" applyBorder="1"/>
    <xf numFmtId="170" fontId="6" fillId="0" borderId="10" xfId="4" applyNumberFormat="1" applyFont="1" applyBorder="1"/>
    <xf numFmtId="165" fontId="0" fillId="0" borderId="10" xfId="1" applyNumberFormat="1" applyFont="1" applyFill="1" applyBorder="1"/>
    <xf numFmtId="165" fontId="8" fillId="0" borderId="10" xfId="1" applyNumberFormat="1" applyFont="1" applyFill="1" applyBorder="1"/>
    <xf numFmtId="170" fontId="6" fillId="0" borderId="20" xfId="4" applyNumberFormat="1" applyFont="1" applyBorder="1"/>
    <xf numFmtId="170" fontId="7" fillId="0" borderId="20" xfId="4" applyNumberFormat="1" applyFont="1" applyBorder="1"/>
    <xf numFmtId="165" fontId="7" fillId="0" borderId="20" xfId="1" applyNumberFormat="1" applyFont="1" applyFill="1" applyBorder="1"/>
    <xf numFmtId="170" fontId="6" fillId="0" borderId="26" xfId="4" applyNumberFormat="1" applyFont="1" applyBorder="1"/>
    <xf numFmtId="165" fontId="0" fillId="9" borderId="24" xfId="1" applyNumberFormat="1" applyFont="1" applyFill="1" applyBorder="1"/>
    <xf numFmtId="165" fontId="0" fillId="9" borderId="23" xfId="1" applyNumberFormat="1" applyFont="1" applyFill="1" applyBorder="1"/>
    <xf numFmtId="172" fontId="0" fillId="0" borderId="0" xfId="1" applyNumberFormat="1" applyFont="1"/>
    <xf numFmtId="43" fontId="0" fillId="0" borderId="10" xfId="1" applyFont="1" applyBorder="1"/>
    <xf numFmtId="165" fontId="0" fillId="0" borderId="16" xfId="1" applyNumberFormat="1" applyFont="1" applyBorder="1"/>
    <xf numFmtId="165" fontId="3" fillId="0" borderId="0" xfId="1" applyNumberFormat="1" applyFont="1"/>
    <xf numFmtId="165" fontId="3" fillId="7" borderId="0" xfId="1" applyNumberFormat="1" applyFont="1" applyFill="1"/>
    <xf numFmtId="165" fontId="3" fillId="6" borderId="0" xfId="1" applyNumberFormat="1" applyFont="1" applyFill="1"/>
    <xf numFmtId="165" fontId="3" fillId="0" borderId="0" xfId="1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/>
    <xf numFmtId="0" fontId="12" fillId="0" borderId="0" xfId="0" applyFont="1"/>
    <xf numFmtId="17" fontId="0" fillId="0" borderId="0" xfId="0" applyNumberFormat="1"/>
    <xf numFmtId="17" fontId="0" fillId="0" borderId="0" xfId="0" applyNumberFormat="1" applyAlignment="1">
      <alignment horizontal="left"/>
    </xf>
    <xf numFmtId="168" fontId="0" fillId="0" borderId="0" xfId="0" applyNumberFormat="1" applyAlignment="1">
      <alignment horizontal="right"/>
    </xf>
    <xf numFmtId="169" fontId="0" fillId="0" borderId="0" xfId="0" applyNumberFormat="1"/>
    <xf numFmtId="167" fontId="0" fillId="0" borderId="0" xfId="1" applyNumberFormat="1" applyFont="1"/>
    <xf numFmtId="0" fontId="0" fillId="0" borderId="0" xfId="0" applyFill="1"/>
    <xf numFmtId="43" fontId="0" fillId="3" borderId="0" xfId="0" applyNumberFormat="1" applyFill="1"/>
    <xf numFmtId="43" fontId="0" fillId="2" borderId="0" xfId="0" applyNumberFormat="1" applyFill="1"/>
    <xf numFmtId="165" fontId="0" fillId="3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13" fillId="0" borderId="0" xfId="0" applyFont="1"/>
    <xf numFmtId="0" fontId="0" fillId="10" borderId="10" xfId="0" applyFill="1" applyBorder="1" applyAlignment="1">
      <alignment horizontal="center"/>
    </xf>
    <xf numFmtId="165" fontId="0" fillId="2" borderId="0" xfId="1" applyNumberFormat="1" applyFont="1" applyFill="1"/>
    <xf numFmtId="165" fontId="0" fillId="10" borderId="0" xfId="1" applyNumberFormat="1" applyFont="1" applyFill="1"/>
    <xf numFmtId="165" fontId="0" fillId="0" borderId="0" xfId="1" applyNumberFormat="1" applyFont="1" applyFill="1" applyBorder="1"/>
    <xf numFmtId="0" fontId="0" fillId="0" borderId="0" xfId="0"/>
    <xf numFmtId="165" fontId="0" fillId="0" borderId="0" xfId="1" applyNumberFormat="1" applyFont="1"/>
    <xf numFmtId="0" fontId="15" fillId="4" borderId="5" xfId="0" applyFont="1" applyFill="1" applyBorder="1" applyAlignment="1">
      <alignment horizontal="right"/>
    </xf>
    <xf numFmtId="0" fontId="15" fillId="11" borderId="5" xfId="0" applyFont="1" applyFill="1" applyBorder="1" applyAlignment="1">
      <alignment horizontal="right"/>
    </xf>
    <xf numFmtId="0" fontId="6" fillId="11" borderId="5" xfId="0" applyFont="1" applyFill="1" applyBorder="1" applyAlignment="1">
      <alignment horizontal="right"/>
    </xf>
    <xf numFmtId="0" fontId="6" fillId="11" borderId="0" xfId="0" applyFont="1" applyFill="1" applyAlignment="1">
      <alignment horizontal="right"/>
    </xf>
    <xf numFmtId="165" fontId="0" fillId="11" borderId="0" xfId="0" applyNumberFormat="1" applyFont="1" applyFill="1"/>
    <xf numFmtId="0" fontId="0" fillId="11" borderId="0" xfId="0" applyFont="1" applyFill="1"/>
    <xf numFmtId="3" fontId="0" fillId="11" borderId="0" xfId="1" applyNumberFormat="1" applyFont="1" applyFill="1"/>
    <xf numFmtId="3" fontId="10" fillId="11" borderId="10" xfId="1" applyNumberFormat="1" applyFont="1" applyFill="1" applyBorder="1"/>
    <xf numFmtId="3" fontId="0" fillId="11" borderId="10" xfId="1" applyNumberFormat="1" applyFont="1" applyFill="1" applyBorder="1"/>
    <xf numFmtId="3" fontId="10" fillId="11" borderId="0" xfId="2" applyNumberFormat="1" applyFont="1" applyFill="1"/>
    <xf numFmtId="3" fontId="0" fillId="11" borderId="13" xfId="2" applyNumberFormat="1" applyFont="1" applyFill="1" applyBorder="1"/>
    <xf numFmtId="3" fontId="0" fillId="11" borderId="0" xfId="2" applyNumberFormat="1" applyFont="1" applyFill="1"/>
    <xf numFmtId="3" fontId="0" fillId="11" borderId="0" xfId="0" applyNumberFormat="1" applyFont="1" applyFill="1"/>
    <xf numFmtId="3" fontId="11" fillId="11" borderId="0" xfId="1" applyNumberFormat="1" applyFont="1" applyFill="1"/>
    <xf numFmtId="3" fontId="0" fillId="11" borderId="16" xfId="1" applyNumberFormat="1" applyFont="1" applyFill="1" applyBorder="1"/>
    <xf numFmtId="3" fontId="10" fillId="11" borderId="5" xfId="1" applyNumberFormat="1" applyFont="1" applyFill="1" applyBorder="1"/>
    <xf numFmtId="0" fontId="6" fillId="12" borderId="2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right"/>
    </xf>
    <xf numFmtId="0" fontId="6" fillId="12" borderId="0" xfId="0" applyFont="1" applyFill="1" applyAlignment="1">
      <alignment horizontal="right"/>
    </xf>
    <xf numFmtId="0" fontId="0" fillId="12" borderId="0" xfId="0" applyFont="1" applyFill="1"/>
    <xf numFmtId="3" fontId="0" fillId="12" borderId="0" xfId="1" applyNumberFormat="1" applyFont="1" applyFill="1"/>
    <xf numFmtId="3" fontId="10" fillId="12" borderId="10" xfId="1" applyNumberFormat="1" applyFont="1" applyFill="1" applyBorder="1"/>
    <xf numFmtId="3" fontId="0" fillId="12" borderId="10" xfId="1" applyNumberFormat="1" applyFont="1" applyFill="1" applyBorder="1"/>
    <xf numFmtId="3" fontId="10" fillId="12" borderId="0" xfId="2" applyNumberFormat="1" applyFont="1" applyFill="1"/>
    <xf numFmtId="3" fontId="0" fillId="12" borderId="13" xfId="2" applyNumberFormat="1" applyFont="1" applyFill="1" applyBorder="1"/>
    <xf numFmtId="3" fontId="0" fillId="12" borderId="0" xfId="2" applyNumberFormat="1" applyFont="1" applyFill="1"/>
    <xf numFmtId="3" fontId="0" fillId="12" borderId="0" xfId="0" applyNumberFormat="1" applyFont="1" applyFill="1"/>
    <xf numFmtId="3" fontId="11" fillId="12" borderId="0" xfId="1" applyNumberFormat="1" applyFont="1" applyFill="1"/>
    <xf numFmtId="3" fontId="0" fillId="12" borderId="16" xfId="1" applyNumberFormat="1" applyFont="1" applyFill="1" applyBorder="1"/>
    <xf numFmtId="3" fontId="10" fillId="12" borderId="5" xfId="1" applyNumberFormat="1" applyFont="1" applyFill="1" applyBorder="1"/>
    <xf numFmtId="0" fontId="7" fillId="8" borderId="18" xfId="3" applyFont="1" applyFill="1" applyBorder="1" applyAlignment="1">
      <alignment horizontal="center"/>
    </xf>
    <xf numFmtId="0" fontId="7" fillId="8" borderId="20" xfId="3" applyFont="1" applyFill="1" applyBorder="1" applyAlignment="1">
      <alignment horizontal="center"/>
    </xf>
    <xf numFmtId="0" fontId="7" fillId="8" borderId="19" xfId="3" applyFont="1" applyFill="1" applyBorder="1" applyAlignment="1">
      <alignment horizontal="center"/>
    </xf>
    <xf numFmtId="165" fontId="7" fillId="8" borderId="18" xfId="1" applyNumberFormat="1" applyFont="1" applyFill="1" applyBorder="1" applyAlignment="1">
      <alignment horizontal="center"/>
    </xf>
    <xf numFmtId="165" fontId="7" fillId="8" borderId="20" xfId="1" applyNumberFormat="1" applyFont="1" applyFill="1" applyBorder="1" applyAlignment="1">
      <alignment horizontal="center"/>
    </xf>
    <xf numFmtId="165" fontId="7" fillId="8" borderId="19" xfId="1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9">
    <cellStyle name="Comma" xfId="1" builtinId="3"/>
    <cellStyle name="Comma 3" xfId="6"/>
    <cellStyle name="Currency" xfId="4" builtinId="4"/>
    <cellStyle name="Normal" xfId="0" builtinId="0"/>
    <cellStyle name="Normal 11 2" xfId="5"/>
    <cellStyle name="Normal 2" xfId="8"/>
    <cellStyle name="Normal 3" xfId="7"/>
    <cellStyle name="Normal_Proof of Revenue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1004887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809500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700" cy="5681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633412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612" cy="568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319087</xdr:colOff>
      <xdr:row>2</xdr:row>
      <xdr:rowOff>187107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6123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190500</xdr:colOff>
      <xdr:row>25</xdr:row>
      <xdr:rowOff>32472</xdr:rowOff>
    </xdr:from>
    <xdr:to>
      <xdr:col>26</xdr:col>
      <xdr:colOff>523665</xdr:colOff>
      <xdr:row>26</xdr:row>
      <xdr:rowOff>95214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8B51A62-03EB-43E2-AA81-976ACAC2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31050" y="3518622"/>
          <a:ext cx="1485690" cy="2532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2614612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2005012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612" cy="568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2100262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612" cy="568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2005012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612" cy="568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2005012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612" cy="5681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2005012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612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forest\AppData\Local\Microsoft\Windows\Temporary%20Internet%20Files\Content.Outlook\M8Z0ISVC\Extraction%20Template%20-%20Electric%20Revenue%20Summary%20by%20Rate%20-%2012-31-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Revenue Variance Report"/>
      <sheetName val="Rate Components"/>
      <sheetName val="UPC Data"/>
      <sheetName val="To Rates for Unbilled Adj"/>
      <sheetName val="To Weather Normalized NSI"/>
      <sheetName val="To Peer Group Rates"/>
      <sheetName val="To Rate Case Base Data"/>
      <sheetName val="To Rate Case Other Revenue"/>
      <sheetName val="To Electric Budget"/>
      <sheetName val="Sales by District"/>
      <sheetName val="Import RSR by St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I1">
            <v>42735</v>
          </cell>
        </row>
        <row r="5">
          <cell r="C5" t="str">
            <v>North</v>
          </cell>
          <cell r="F5" t="str">
            <v>North</v>
          </cell>
          <cell r="G5" t="str">
            <v>North</v>
          </cell>
          <cell r="H5" t="str">
            <v>North</v>
          </cell>
          <cell r="I5" t="str">
            <v>North</v>
          </cell>
          <cell r="J5" t="str">
            <v>North</v>
          </cell>
        </row>
        <row r="6">
          <cell r="C6" t="str">
            <v>Arkansas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St</v>
          </cell>
          <cell r="F7" t="str">
            <v>Revenue Class</v>
          </cell>
          <cell r="G7" t="str">
            <v>Pricing Plan</v>
          </cell>
          <cell r="H7" t="str">
            <v>Customers</v>
          </cell>
          <cell r="I7" t="str">
            <v>KWH</v>
          </cell>
          <cell r="J7" t="str">
            <v>Usage</v>
          </cell>
        </row>
        <row r="8">
          <cell r="C8" t="str">
            <v>AR</v>
          </cell>
          <cell r="F8" t="str">
            <v>Residential</v>
          </cell>
          <cell r="G8" t="str">
            <v>NM-Net Metering</v>
          </cell>
          <cell r="H8">
            <v>0</v>
          </cell>
          <cell r="I8">
            <v>-838</v>
          </cell>
          <cell r="J8">
            <v>0</v>
          </cell>
        </row>
        <row r="9">
          <cell r="C9" t="str">
            <v>AR</v>
          </cell>
          <cell r="F9" t="str">
            <v>Residential</v>
          </cell>
          <cell r="G9" t="str">
            <v>NM-Net Metering Total</v>
          </cell>
          <cell r="H9">
            <v>0</v>
          </cell>
          <cell r="I9">
            <v>-838</v>
          </cell>
          <cell r="J9">
            <v>0</v>
          </cell>
        </row>
        <row r="10">
          <cell r="C10" t="str">
            <v>AR</v>
          </cell>
          <cell r="F10" t="str">
            <v>Residential</v>
          </cell>
          <cell r="G10" t="str">
            <v>PL-Private Lighting</v>
          </cell>
          <cell r="H10">
            <v>0</v>
          </cell>
          <cell r="I10">
            <v>15984</v>
          </cell>
          <cell r="J10">
            <v>2532.84</v>
          </cell>
        </row>
        <row r="11">
          <cell r="C11" t="str">
            <v>AR</v>
          </cell>
          <cell r="F11" t="str">
            <v>Residential</v>
          </cell>
          <cell r="G11" t="str">
            <v>PL-Private Lighting</v>
          </cell>
          <cell r="H11">
            <v>0</v>
          </cell>
          <cell r="I11">
            <v>31</v>
          </cell>
          <cell r="J11">
            <v>6.05</v>
          </cell>
        </row>
        <row r="12">
          <cell r="C12" t="str">
            <v>AR</v>
          </cell>
          <cell r="F12" t="str">
            <v>Residential</v>
          </cell>
          <cell r="G12" t="str">
            <v>PL-Private Lighting</v>
          </cell>
          <cell r="H12">
            <v>0</v>
          </cell>
          <cell r="I12">
            <v>0</v>
          </cell>
          <cell r="J12">
            <v>-7.33</v>
          </cell>
        </row>
        <row r="13">
          <cell r="C13" t="str">
            <v>AR</v>
          </cell>
          <cell r="F13" t="str">
            <v>Residential</v>
          </cell>
          <cell r="G13" t="str">
            <v>PL-Private Lighting Total</v>
          </cell>
          <cell r="H13">
            <v>9</v>
          </cell>
          <cell r="I13">
            <v>16015</v>
          </cell>
          <cell r="J13">
            <v>2531.5600000000004</v>
          </cell>
        </row>
        <row r="14">
          <cell r="C14" t="str">
            <v>AR</v>
          </cell>
          <cell r="F14" t="str">
            <v>Residential</v>
          </cell>
          <cell r="G14" t="str">
            <v>RG-Residential</v>
          </cell>
          <cell r="H14">
            <v>0</v>
          </cell>
          <cell r="I14">
            <v>2910760</v>
          </cell>
          <cell r="J14">
            <v>247735.08</v>
          </cell>
        </row>
        <row r="15">
          <cell r="C15" t="str">
            <v>AR</v>
          </cell>
          <cell r="F15" t="str">
            <v>Residential</v>
          </cell>
          <cell r="G15" t="str">
            <v>RG-Residential</v>
          </cell>
          <cell r="H15">
            <v>0</v>
          </cell>
          <cell r="I15">
            <v>31762</v>
          </cell>
          <cell r="J15">
            <v>2819.24</v>
          </cell>
        </row>
        <row r="16">
          <cell r="C16" t="str">
            <v>AR</v>
          </cell>
          <cell r="F16" t="str">
            <v>Residential</v>
          </cell>
          <cell r="G16" t="str">
            <v>RG-Residential</v>
          </cell>
          <cell r="H16">
            <v>0</v>
          </cell>
          <cell r="I16">
            <v>0</v>
          </cell>
          <cell r="J16">
            <v>-964.7</v>
          </cell>
        </row>
        <row r="17">
          <cell r="C17" t="str">
            <v>AR</v>
          </cell>
          <cell r="F17" t="str">
            <v>Residential</v>
          </cell>
          <cell r="G17" t="str">
            <v>RG-Residential Total</v>
          </cell>
          <cell r="H17">
            <v>3685</v>
          </cell>
          <cell r="I17">
            <v>2942522</v>
          </cell>
          <cell r="J17">
            <v>249589.61999999997</v>
          </cell>
        </row>
        <row r="18">
          <cell r="C18" t="str">
            <v>AR</v>
          </cell>
          <cell r="F18" t="str">
            <v>Residential Total</v>
          </cell>
          <cell r="G18">
            <v>0</v>
          </cell>
          <cell r="H18">
            <v>3694</v>
          </cell>
          <cell r="I18">
            <v>2957699</v>
          </cell>
          <cell r="J18">
            <v>252121.17999999996</v>
          </cell>
        </row>
        <row r="19">
          <cell r="C19" t="str">
            <v>AR</v>
          </cell>
          <cell r="F19" t="str">
            <v>Commercial</v>
          </cell>
          <cell r="G19" t="str">
            <v>CB-Commercial</v>
          </cell>
          <cell r="H19">
            <v>0</v>
          </cell>
          <cell r="I19">
            <v>920862</v>
          </cell>
          <cell r="J19">
            <v>65640.789999999994</v>
          </cell>
        </row>
        <row r="20">
          <cell r="C20" t="str">
            <v>AR</v>
          </cell>
          <cell r="F20" t="str">
            <v>Commercial</v>
          </cell>
          <cell r="G20" t="str">
            <v>CB-Commercial</v>
          </cell>
          <cell r="H20">
            <v>0</v>
          </cell>
          <cell r="I20">
            <v>36864</v>
          </cell>
          <cell r="J20">
            <v>2254.48</v>
          </cell>
        </row>
        <row r="21">
          <cell r="C21" t="str">
            <v>AR</v>
          </cell>
          <cell r="F21" t="str">
            <v>Commercial</v>
          </cell>
          <cell r="G21" t="str">
            <v>CB-Commercial</v>
          </cell>
          <cell r="H21">
            <v>0</v>
          </cell>
          <cell r="I21">
            <v>0</v>
          </cell>
          <cell r="J21">
            <v>-339.89</v>
          </cell>
        </row>
        <row r="22">
          <cell r="C22" t="str">
            <v>AR</v>
          </cell>
          <cell r="F22" t="str">
            <v>Commercial</v>
          </cell>
          <cell r="G22" t="str">
            <v>CB-Commercial Total</v>
          </cell>
          <cell r="H22">
            <v>612</v>
          </cell>
          <cell r="I22">
            <v>957726</v>
          </cell>
          <cell r="J22">
            <v>67555.37999999999</v>
          </cell>
        </row>
        <row r="23">
          <cell r="C23" t="str">
            <v>AR</v>
          </cell>
          <cell r="F23" t="str">
            <v>Commercial</v>
          </cell>
          <cell r="G23" t="str">
            <v>GP-General Power</v>
          </cell>
          <cell r="H23">
            <v>0</v>
          </cell>
          <cell r="I23">
            <v>1518748</v>
          </cell>
          <cell r="J23">
            <v>83661.490000000005</v>
          </cell>
        </row>
        <row r="24">
          <cell r="C24" t="str">
            <v>AR</v>
          </cell>
          <cell r="F24" t="str">
            <v>Commercial</v>
          </cell>
          <cell r="G24" t="str">
            <v>GP-General Power</v>
          </cell>
          <cell r="H24">
            <v>0</v>
          </cell>
          <cell r="I24">
            <v>0</v>
          </cell>
          <cell r="J24">
            <v>-399.94</v>
          </cell>
        </row>
        <row r="25">
          <cell r="C25" t="str">
            <v>AR</v>
          </cell>
          <cell r="F25" t="str">
            <v>Commercial</v>
          </cell>
          <cell r="G25" t="str">
            <v>GP-General Power Total</v>
          </cell>
          <cell r="H25">
            <v>56</v>
          </cell>
          <cell r="I25">
            <v>1518748</v>
          </cell>
          <cell r="J25">
            <v>83261.55</v>
          </cell>
        </row>
        <row r="26">
          <cell r="C26" t="str">
            <v>AR</v>
          </cell>
          <cell r="F26" t="str">
            <v>Commercial</v>
          </cell>
          <cell r="G26" t="str">
            <v>LS-Special Lighting</v>
          </cell>
          <cell r="H26">
            <v>0</v>
          </cell>
          <cell r="I26">
            <v>164</v>
          </cell>
          <cell r="J26">
            <v>83.4</v>
          </cell>
        </row>
        <row r="27">
          <cell r="C27" t="str">
            <v>AR</v>
          </cell>
          <cell r="F27" t="str">
            <v>Commercial</v>
          </cell>
          <cell r="G27" t="str">
            <v>LS-Special Lighting Total</v>
          </cell>
          <cell r="H27">
            <v>3</v>
          </cell>
          <cell r="I27">
            <v>164</v>
          </cell>
          <cell r="J27">
            <v>83.4</v>
          </cell>
        </row>
        <row r="28">
          <cell r="C28" t="str">
            <v>AR</v>
          </cell>
          <cell r="F28" t="str">
            <v>Commercial</v>
          </cell>
          <cell r="G28" t="str">
            <v>PL-Private Lighting</v>
          </cell>
          <cell r="H28">
            <v>0</v>
          </cell>
          <cell r="I28">
            <v>27852</v>
          </cell>
          <cell r="J28">
            <v>3822.11</v>
          </cell>
        </row>
        <row r="29">
          <cell r="C29" t="str">
            <v>AR</v>
          </cell>
          <cell r="F29" t="str">
            <v>Commercial</v>
          </cell>
          <cell r="G29" t="str">
            <v>PL-Private Lighting</v>
          </cell>
          <cell r="H29">
            <v>0</v>
          </cell>
          <cell r="I29">
            <v>312</v>
          </cell>
          <cell r="J29">
            <v>44.08</v>
          </cell>
        </row>
        <row r="30">
          <cell r="C30" t="str">
            <v>AR</v>
          </cell>
          <cell r="F30" t="str">
            <v>Commercial</v>
          </cell>
          <cell r="G30" t="str">
            <v>PL-Private Lighting</v>
          </cell>
          <cell r="H30">
            <v>0</v>
          </cell>
          <cell r="I30">
            <v>0</v>
          </cell>
          <cell r="J30">
            <v>-16.03</v>
          </cell>
        </row>
        <row r="31">
          <cell r="C31" t="str">
            <v>AR</v>
          </cell>
          <cell r="F31" t="str">
            <v>Commercial</v>
          </cell>
          <cell r="G31" t="str">
            <v>PL-Private Lighting Total</v>
          </cell>
          <cell r="H31">
            <v>4</v>
          </cell>
          <cell r="I31">
            <v>28164</v>
          </cell>
          <cell r="J31">
            <v>3850.16</v>
          </cell>
        </row>
        <row r="32">
          <cell r="C32" t="str">
            <v>AR</v>
          </cell>
          <cell r="F32" t="str">
            <v>Commercial Total</v>
          </cell>
          <cell r="G32">
            <v>0</v>
          </cell>
          <cell r="H32">
            <v>675</v>
          </cell>
          <cell r="I32">
            <v>2504802</v>
          </cell>
          <cell r="J32">
            <v>154750.48999999996</v>
          </cell>
        </row>
        <row r="33">
          <cell r="C33" t="str">
            <v>AR</v>
          </cell>
          <cell r="F33" t="str">
            <v>Industrial</v>
          </cell>
          <cell r="G33" t="str">
            <v>CB-Commercial</v>
          </cell>
          <cell r="H33">
            <v>0</v>
          </cell>
          <cell r="I33">
            <v>1822</v>
          </cell>
          <cell r="J33">
            <v>132.56</v>
          </cell>
        </row>
        <row r="34">
          <cell r="C34" t="str">
            <v>AR</v>
          </cell>
          <cell r="F34" t="str">
            <v>Industrial</v>
          </cell>
          <cell r="G34" t="str">
            <v>CB-Commercial</v>
          </cell>
          <cell r="H34">
            <v>0</v>
          </cell>
          <cell r="I34">
            <v>0</v>
          </cell>
          <cell r="J34">
            <v>-0.32</v>
          </cell>
        </row>
        <row r="35">
          <cell r="C35" t="str">
            <v>AR</v>
          </cell>
          <cell r="F35" t="str">
            <v>Industrial</v>
          </cell>
          <cell r="G35" t="str">
            <v>CB-Commercial Total</v>
          </cell>
          <cell r="H35">
            <v>1</v>
          </cell>
          <cell r="I35">
            <v>1822</v>
          </cell>
          <cell r="J35">
            <v>132.24</v>
          </cell>
        </row>
        <row r="36">
          <cell r="C36" t="str">
            <v>AR</v>
          </cell>
          <cell r="F36" t="str">
            <v>Industrial</v>
          </cell>
          <cell r="G36" t="str">
            <v>GP-General Power</v>
          </cell>
          <cell r="H36">
            <v>0</v>
          </cell>
          <cell r="I36">
            <v>393920</v>
          </cell>
          <cell r="J36">
            <v>23657.59</v>
          </cell>
        </row>
        <row r="37">
          <cell r="C37" t="str">
            <v>AR</v>
          </cell>
          <cell r="F37" t="str">
            <v>Industrial</v>
          </cell>
          <cell r="G37" t="str">
            <v>GP-General Power</v>
          </cell>
          <cell r="H37">
            <v>0</v>
          </cell>
          <cell r="I37">
            <v>0</v>
          </cell>
          <cell r="J37">
            <v>-11.39</v>
          </cell>
        </row>
        <row r="38">
          <cell r="C38" t="str">
            <v>AR</v>
          </cell>
          <cell r="F38" t="str">
            <v>Industrial</v>
          </cell>
          <cell r="G38" t="str">
            <v>GP-General Power Total</v>
          </cell>
          <cell r="H38">
            <v>4</v>
          </cell>
          <cell r="I38">
            <v>393920</v>
          </cell>
          <cell r="J38">
            <v>23646.2</v>
          </cell>
        </row>
        <row r="39">
          <cell r="C39" t="str">
            <v>AR</v>
          </cell>
          <cell r="F39" t="str">
            <v>Industrial</v>
          </cell>
          <cell r="G39" t="str">
            <v>PL-Private Lighting</v>
          </cell>
          <cell r="H39">
            <v>0</v>
          </cell>
          <cell r="I39">
            <v>5882</v>
          </cell>
          <cell r="J39">
            <v>522.32000000000005</v>
          </cell>
        </row>
        <row r="40">
          <cell r="C40" t="str">
            <v>AR</v>
          </cell>
          <cell r="F40" t="str">
            <v>Industrial</v>
          </cell>
          <cell r="G40" t="str">
            <v>PL-Private Lighting</v>
          </cell>
          <cell r="H40">
            <v>0</v>
          </cell>
          <cell r="I40">
            <v>0</v>
          </cell>
          <cell r="J40">
            <v>-8.65</v>
          </cell>
        </row>
        <row r="41">
          <cell r="C41" t="str">
            <v>AR</v>
          </cell>
          <cell r="F41" t="str">
            <v>Industrial</v>
          </cell>
          <cell r="G41" t="str">
            <v>PL-Private Lighting Total</v>
          </cell>
          <cell r="H41">
            <v>0</v>
          </cell>
          <cell r="I41">
            <v>5882</v>
          </cell>
          <cell r="J41">
            <v>513.67000000000007</v>
          </cell>
        </row>
        <row r="42">
          <cell r="C42" t="str">
            <v>AR</v>
          </cell>
          <cell r="F42" t="str">
            <v>Industrial</v>
          </cell>
          <cell r="G42" t="str">
            <v>PT-Transmission</v>
          </cell>
          <cell r="H42">
            <v>0</v>
          </cell>
          <cell r="I42">
            <v>6870351</v>
          </cell>
          <cell r="J42">
            <v>251241.73</v>
          </cell>
        </row>
        <row r="43">
          <cell r="C43" t="str">
            <v>AR</v>
          </cell>
          <cell r="F43" t="str">
            <v>Industrial</v>
          </cell>
          <cell r="G43" t="str">
            <v>PT-Transmission</v>
          </cell>
          <cell r="H43">
            <v>0</v>
          </cell>
          <cell r="I43">
            <v>0</v>
          </cell>
          <cell r="J43">
            <v>-15611.71</v>
          </cell>
        </row>
        <row r="44">
          <cell r="C44" t="str">
            <v>AR</v>
          </cell>
          <cell r="F44" t="str">
            <v>Industrial</v>
          </cell>
          <cell r="G44" t="str">
            <v>PT-Transmission Total</v>
          </cell>
          <cell r="H44">
            <v>4</v>
          </cell>
          <cell r="I44">
            <v>6870351</v>
          </cell>
          <cell r="J44">
            <v>235630.02000000002</v>
          </cell>
        </row>
        <row r="45">
          <cell r="C45" t="str">
            <v>AR</v>
          </cell>
          <cell r="F45" t="str">
            <v>Industrial Total</v>
          </cell>
          <cell r="G45">
            <v>0</v>
          </cell>
          <cell r="H45">
            <v>9</v>
          </cell>
          <cell r="I45">
            <v>7271975</v>
          </cell>
          <cell r="J45">
            <v>259922.13000000003</v>
          </cell>
        </row>
        <row r="46">
          <cell r="C46" t="str">
            <v>AR</v>
          </cell>
          <cell r="F46" t="str">
            <v>Muni Street &amp; Highway Lighting</v>
          </cell>
          <cell r="G46" t="str">
            <v>CB-Commercial</v>
          </cell>
          <cell r="H46">
            <v>0</v>
          </cell>
          <cell r="I46">
            <v>3643</v>
          </cell>
          <cell r="J46">
            <v>623.12</v>
          </cell>
        </row>
        <row r="47">
          <cell r="C47" t="str">
            <v>AR</v>
          </cell>
          <cell r="F47" t="str">
            <v>Muni Street &amp; Highway Lighting</v>
          </cell>
          <cell r="G47" t="str">
            <v>CB-Commercial</v>
          </cell>
          <cell r="H47">
            <v>0</v>
          </cell>
          <cell r="I47">
            <v>0</v>
          </cell>
          <cell r="J47">
            <v>-1</v>
          </cell>
        </row>
        <row r="48">
          <cell r="C48" t="str">
            <v>AR</v>
          </cell>
          <cell r="F48" t="str">
            <v>Muni Street &amp; Highway Lighting</v>
          </cell>
          <cell r="G48" t="str">
            <v>CB-Commercial Total</v>
          </cell>
          <cell r="H48">
            <v>23</v>
          </cell>
          <cell r="I48">
            <v>3643</v>
          </cell>
          <cell r="J48">
            <v>622.12</v>
          </cell>
        </row>
        <row r="49">
          <cell r="C49" t="str">
            <v>AR</v>
          </cell>
          <cell r="F49" t="str">
            <v>Muni Street &amp; Highway Lighting</v>
          </cell>
          <cell r="G49" t="str">
            <v>LS-Special Lighting</v>
          </cell>
          <cell r="H49">
            <v>0</v>
          </cell>
          <cell r="I49">
            <v>2312</v>
          </cell>
          <cell r="J49">
            <v>432.03</v>
          </cell>
        </row>
        <row r="50">
          <cell r="C50" t="str">
            <v>AR</v>
          </cell>
          <cell r="F50" t="str">
            <v>Muni Street &amp; Highway Lighting</v>
          </cell>
          <cell r="G50" t="str">
            <v>LS-Special Lighting</v>
          </cell>
          <cell r="H50">
            <v>0</v>
          </cell>
          <cell r="I50">
            <v>0</v>
          </cell>
          <cell r="J50">
            <v>-0.72</v>
          </cell>
        </row>
        <row r="51">
          <cell r="C51" t="str">
            <v>AR</v>
          </cell>
          <cell r="F51" t="str">
            <v>Muni Street &amp; Highway Lighting</v>
          </cell>
          <cell r="G51" t="str">
            <v>LS-Special Lighting Total</v>
          </cell>
          <cell r="H51">
            <v>7</v>
          </cell>
          <cell r="I51">
            <v>2312</v>
          </cell>
          <cell r="J51">
            <v>431.30999999999995</v>
          </cell>
        </row>
        <row r="52">
          <cell r="C52" t="str">
            <v>AR</v>
          </cell>
          <cell r="F52" t="str">
            <v>Muni Street &amp; Highway Lighting</v>
          </cell>
          <cell r="G52" t="str">
            <v>PL-Private Lighting</v>
          </cell>
          <cell r="H52">
            <v>0</v>
          </cell>
          <cell r="I52">
            <v>711</v>
          </cell>
          <cell r="J52">
            <v>93.93</v>
          </cell>
        </row>
        <row r="53">
          <cell r="C53" t="str">
            <v>AR</v>
          </cell>
          <cell r="F53" t="str">
            <v>Muni Street &amp; Highway Lighting</v>
          </cell>
          <cell r="G53" t="str">
            <v>PL-Private Lighting</v>
          </cell>
          <cell r="H53">
            <v>0</v>
          </cell>
          <cell r="I53">
            <v>0</v>
          </cell>
          <cell r="J53">
            <v>-0.28000000000000003</v>
          </cell>
        </row>
        <row r="54">
          <cell r="C54" t="str">
            <v>AR</v>
          </cell>
          <cell r="F54" t="str">
            <v>Muni Street &amp; Highway Lighting</v>
          </cell>
          <cell r="G54" t="str">
            <v>PL-Private Lighting Total</v>
          </cell>
          <cell r="H54">
            <v>0</v>
          </cell>
          <cell r="I54">
            <v>711</v>
          </cell>
          <cell r="J54">
            <v>93.65</v>
          </cell>
        </row>
        <row r="55">
          <cell r="C55" t="str">
            <v>AR</v>
          </cell>
          <cell r="F55" t="str">
            <v>Muni Street &amp; Highway Lighting</v>
          </cell>
          <cell r="G55" t="str">
            <v>SPL-Municipal St Lighting</v>
          </cell>
          <cell r="H55">
            <v>0</v>
          </cell>
          <cell r="I55">
            <v>73778</v>
          </cell>
          <cell r="J55">
            <v>2171.3000000000002</v>
          </cell>
        </row>
        <row r="56">
          <cell r="C56" t="str">
            <v>AR</v>
          </cell>
          <cell r="F56" t="str">
            <v>Muni Street &amp; Highway Lighting</v>
          </cell>
          <cell r="G56" t="str">
            <v>SPL-Municipal St Lighting</v>
          </cell>
          <cell r="H56">
            <v>0</v>
          </cell>
          <cell r="I56">
            <v>0</v>
          </cell>
          <cell r="J56">
            <v>-136.96</v>
          </cell>
        </row>
        <row r="57">
          <cell r="C57" t="str">
            <v>AR</v>
          </cell>
          <cell r="F57" t="str">
            <v>Muni Street &amp; Highway Lighting</v>
          </cell>
          <cell r="G57" t="str">
            <v>SPL-Municipal St Lighting Total</v>
          </cell>
          <cell r="H57">
            <v>0</v>
          </cell>
          <cell r="I57">
            <v>73778</v>
          </cell>
          <cell r="J57">
            <v>2034.3400000000001</v>
          </cell>
        </row>
        <row r="58">
          <cell r="C58" t="str">
            <v>AR</v>
          </cell>
          <cell r="F58" t="str">
            <v>Muni Street &amp; Highway Lighting Total</v>
          </cell>
          <cell r="G58">
            <v>0</v>
          </cell>
          <cell r="H58">
            <v>30</v>
          </cell>
          <cell r="I58">
            <v>80444</v>
          </cell>
          <cell r="J58">
            <v>3181.42</v>
          </cell>
        </row>
        <row r="59">
          <cell r="C59" t="str">
            <v>AR</v>
          </cell>
          <cell r="F59" t="str">
            <v>Other Public Authority</v>
          </cell>
          <cell r="G59" t="str">
            <v>CB-Commercial</v>
          </cell>
          <cell r="H59">
            <v>0</v>
          </cell>
          <cell r="I59">
            <v>50899</v>
          </cell>
          <cell r="J59">
            <v>4122.68</v>
          </cell>
        </row>
        <row r="60">
          <cell r="C60" t="str">
            <v>AR</v>
          </cell>
          <cell r="F60" t="str">
            <v>Other Public Authority</v>
          </cell>
          <cell r="G60" t="str">
            <v>CB-Commercial</v>
          </cell>
          <cell r="H60">
            <v>0</v>
          </cell>
          <cell r="I60">
            <v>23637</v>
          </cell>
          <cell r="J60">
            <v>1838.13</v>
          </cell>
        </row>
        <row r="61">
          <cell r="C61" t="str">
            <v>AR</v>
          </cell>
          <cell r="F61" t="str">
            <v>Other Public Authority</v>
          </cell>
          <cell r="G61" t="str">
            <v>CB-Commercial</v>
          </cell>
          <cell r="H61">
            <v>0</v>
          </cell>
          <cell r="I61">
            <v>0</v>
          </cell>
          <cell r="J61">
            <v>-10.17</v>
          </cell>
        </row>
        <row r="62">
          <cell r="C62" t="str">
            <v>AR</v>
          </cell>
          <cell r="F62" t="str">
            <v>Other Public Authority</v>
          </cell>
          <cell r="G62" t="str">
            <v>CB-Commercial</v>
          </cell>
          <cell r="H62">
            <v>0</v>
          </cell>
          <cell r="I62">
            <v>0</v>
          </cell>
          <cell r="J62">
            <v>-2.38</v>
          </cell>
        </row>
        <row r="63">
          <cell r="C63" t="str">
            <v>AR</v>
          </cell>
          <cell r="F63" t="str">
            <v>Other Public Authority</v>
          </cell>
          <cell r="G63" t="str">
            <v>CB-Commercial Total</v>
          </cell>
          <cell r="H63">
            <v>78</v>
          </cell>
          <cell r="I63">
            <v>74536</v>
          </cell>
          <cell r="J63">
            <v>5948.26</v>
          </cell>
        </row>
        <row r="64">
          <cell r="C64" t="str">
            <v>AR</v>
          </cell>
          <cell r="F64" t="str">
            <v>Other Public Authority</v>
          </cell>
          <cell r="G64" t="str">
            <v>GP-General Power</v>
          </cell>
          <cell r="H64">
            <v>0</v>
          </cell>
          <cell r="I64">
            <v>292859</v>
          </cell>
          <cell r="J64">
            <v>13872.9</v>
          </cell>
        </row>
        <row r="65">
          <cell r="C65" t="str">
            <v>AR</v>
          </cell>
          <cell r="F65" t="str">
            <v>Other Public Authority</v>
          </cell>
          <cell r="G65" t="str">
            <v>GP-General Power</v>
          </cell>
          <cell r="H65">
            <v>0</v>
          </cell>
          <cell r="I65">
            <v>0</v>
          </cell>
          <cell r="J65">
            <v>-24.39</v>
          </cell>
        </row>
        <row r="66">
          <cell r="C66" t="str">
            <v>AR</v>
          </cell>
          <cell r="F66" t="str">
            <v>Other Public Authority</v>
          </cell>
          <cell r="G66" t="str">
            <v>GP-General Power Total</v>
          </cell>
          <cell r="H66">
            <v>5</v>
          </cell>
          <cell r="I66">
            <v>292859</v>
          </cell>
          <cell r="J66">
            <v>13848.51</v>
          </cell>
        </row>
        <row r="67">
          <cell r="C67" t="str">
            <v>AR</v>
          </cell>
          <cell r="F67" t="str">
            <v>Other Public Authority</v>
          </cell>
          <cell r="G67" t="str">
            <v>PL-Private Lighting</v>
          </cell>
          <cell r="H67">
            <v>0</v>
          </cell>
          <cell r="I67">
            <v>65</v>
          </cell>
          <cell r="J67">
            <v>8.11</v>
          </cell>
        </row>
        <row r="68">
          <cell r="C68" t="str">
            <v>AR</v>
          </cell>
          <cell r="F68" t="str">
            <v>Other Public Authority</v>
          </cell>
          <cell r="G68" t="str">
            <v>PL-Private Lighting</v>
          </cell>
          <cell r="H68">
            <v>0</v>
          </cell>
          <cell r="I68">
            <v>0</v>
          </cell>
          <cell r="J68">
            <v>-0.06</v>
          </cell>
        </row>
        <row r="69">
          <cell r="C69" t="str">
            <v>AR</v>
          </cell>
          <cell r="F69" t="str">
            <v>Other Public Authority</v>
          </cell>
          <cell r="G69" t="str">
            <v>PL-Private Lighting Total</v>
          </cell>
          <cell r="H69">
            <v>0</v>
          </cell>
          <cell r="I69">
            <v>65</v>
          </cell>
          <cell r="J69">
            <v>8.0499999999999989</v>
          </cell>
        </row>
        <row r="70">
          <cell r="C70" t="str">
            <v>AR</v>
          </cell>
          <cell r="F70" t="str">
            <v>Other Public Authority Total</v>
          </cell>
          <cell r="G70">
            <v>0</v>
          </cell>
          <cell r="H70">
            <v>83</v>
          </cell>
          <cell r="I70">
            <v>367460</v>
          </cell>
          <cell r="J70">
            <v>19804.82</v>
          </cell>
        </row>
        <row r="71">
          <cell r="C71" t="str">
            <v>AR Total</v>
          </cell>
          <cell r="F71">
            <v>0</v>
          </cell>
          <cell r="G71">
            <v>0</v>
          </cell>
          <cell r="H71">
            <v>4491</v>
          </cell>
          <cell r="I71">
            <v>13182380</v>
          </cell>
          <cell r="J71">
            <v>689780.04</v>
          </cell>
        </row>
        <row r="72">
          <cell r="C72" t="str">
            <v>Kansas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C73" t="str">
            <v>St</v>
          </cell>
          <cell r="F73" t="str">
            <v>Revenue Class</v>
          </cell>
          <cell r="G73" t="str">
            <v>Pricing Plan</v>
          </cell>
          <cell r="H73" t="str">
            <v>Customers</v>
          </cell>
          <cell r="I73" t="str">
            <v>KWH</v>
          </cell>
          <cell r="J73" t="str">
            <v>Usage</v>
          </cell>
        </row>
        <row r="74">
          <cell r="C74" t="str">
            <v>KS</v>
          </cell>
          <cell r="F74" t="str">
            <v>Residential</v>
          </cell>
          <cell r="G74" t="str">
            <v>NM-Net Metering</v>
          </cell>
          <cell r="H74">
            <v>0</v>
          </cell>
          <cell r="I74">
            <v>0</v>
          </cell>
          <cell r="J74">
            <v>0</v>
          </cell>
        </row>
        <row r="75">
          <cell r="C75" t="str">
            <v>KS</v>
          </cell>
          <cell r="F75" t="str">
            <v>Residential</v>
          </cell>
          <cell r="G75" t="str">
            <v>NM-Net Metering Total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KS</v>
          </cell>
          <cell r="F76" t="str">
            <v>Residential</v>
          </cell>
          <cell r="G76" t="str">
            <v>PL-Private Lighting</v>
          </cell>
          <cell r="H76">
            <v>0</v>
          </cell>
          <cell r="I76">
            <v>40214</v>
          </cell>
          <cell r="J76">
            <v>12099.68</v>
          </cell>
        </row>
        <row r="77">
          <cell r="C77" t="str">
            <v>KS</v>
          </cell>
          <cell r="F77" t="str">
            <v>Residential</v>
          </cell>
          <cell r="G77" t="str">
            <v>PL-Private Lighting</v>
          </cell>
          <cell r="H77">
            <v>0</v>
          </cell>
          <cell r="I77">
            <v>14587</v>
          </cell>
          <cell r="J77">
            <v>4818.32</v>
          </cell>
        </row>
        <row r="78">
          <cell r="C78" t="str">
            <v>KS</v>
          </cell>
          <cell r="F78" t="str">
            <v>Residential</v>
          </cell>
          <cell r="G78" t="str">
            <v>PL-Private Lighting Total</v>
          </cell>
          <cell r="H78">
            <v>20</v>
          </cell>
          <cell r="I78">
            <v>54801</v>
          </cell>
          <cell r="J78">
            <v>16918</v>
          </cell>
        </row>
        <row r="79">
          <cell r="C79" t="str">
            <v>KS</v>
          </cell>
          <cell r="F79" t="str">
            <v>Residential</v>
          </cell>
          <cell r="G79" t="str">
            <v>RG-Residential</v>
          </cell>
          <cell r="H79">
            <v>0</v>
          </cell>
          <cell r="I79">
            <v>3192009</v>
          </cell>
          <cell r="J79">
            <v>256519.81</v>
          </cell>
        </row>
        <row r="80">
          <cell r="C80" t="str">
            <v>KS</v>
          </cell>
          <cell r="F80" t="str">
            <v>Residential</v>
          </cell>
          <cell r="G80" t="str">
            <v>RG-Residential</v>
          </cell>
          <cell r="H80">
            <v>0</v>
          </cell>
          <cell r="I80">
            <v>1498674</v>
          </cell>
          <cell r="J80">
            <v>127213.92</v>
          </cell>
        </row>
        <row r="81">
          <cell r="C81" t="str">
            <v>KS</v>
          </cell>
          <cell r="F81" t="str">
            <v>Residential</v>
          </cell>
          <cell r="G81" t="str">
            <v>RG-Residential Total</v>
          </cell>
          <cell r="H81">
            <v>5567</v>
          </cell>
          <cell r="I81">
            <v>4690683</v>
          </cell>
          <cell r="J81">
            <v>383733.73</v>
          </cell>
        </row>
        <row r="82">
          <cell r="C82" t="str">
            <v>KS</v>
          </cell>
          <cell r="F82" t="str">
            <v>Residential</v>
          </cell>
          <cell r="G82" t="str">
            <v>RG-Residential Water Heat</v>
          </cell>
          <cell r="H82">
            <v>0</v>
          </cell>
          <cell r="I82">
            <v>565323</v>
          </cell>
          <cell r="J82">
            <v>41871.660000000003</v>
          </cell>
        </row>
        <row r="83">
          <cell r="C83" t="str">
            <v>KS</v>
          </cell>
          <cell r="F83" t="str">
            <v>Residential</v>
          </cell>
          <cell r="G83" t="str">
            <v>RG-Residential Water Heat</v>
          </cell>
          <cell r="H83">
            <v>0</v>
          </cell>
          <cell r="I83">
            <v>266843</v>
          </cell>
          <cell r="J83">
            <v>20495.38</v>
          </cell>
        </row>
        <row r="84">
          <cell r="C84" t="str">
            <v>KS</v>
          </cell>
          <cell r="F84" t="str">
            <v>Residential</v>
          </cell>
          <cell r="G84" t="str">
            <v>RG-Residential Water Heat Total</v>
          </cell>
          <cell r="H84">
            <v>767</v>
          </cell>
          <cell r="I84">
            <v>832166</v>
          </cell>
          <cell r="J84">
            <v>62367.040000000008</v>
          </cell>
        </row>
        <row r="85">
          <cell r="C85" t="str">
            <v>KS</v>
          </cell>
          <cell r="F85" t="str">
            <v>Residential</v>
          </cell>
          <cell r="G85" t="str">
            <v>RH-Residential Total Elec</v>
          </cell>
          <cell r="H85">
            <v>0</v>
          </cell>
          <cell r="I85">
            <v>2530323</v>
          </cell>
          <cell r="J85">
            <v>164820.13</v>
          </cell>
        </row>
        <row r="86">
          <cell r="C86" t="str">
            <v>KS</v>
          </cell>
          <cell r="F86" t="str">
            <v>Residential</v>
          </cell>
          <cell r="G86" t="str">
            <v>RH-Residential Total Elec</v>
          </cell>
          <cell r="H86">
            <v>0</v>
          </cell>
          <cell r="I86">
            <v>506263</v>
          </cell>
          <cell r="J86">
            <v>35284.620000000003</v>
          </cell>
        </row>
        <row r="87">
          <cell r="C87" t="str">
            <v>KS</v>
          </cell>
          <cell r="F87" t="str">
            <v>Residential</v>
          </cell>
          <cell r="G87" t="str">
            <v>RH-Residential Total Elec Total</v>
          </cell>
          <cell r="H87">
            <v>1878</v>
          </cell>
          <cell r="I87">
            <v>3036586</v>
          </cell>
          <cell r="J87">
            <v>200104.75</v>
          </cell>
        </row>
        <row r="88">
          <cell r="C88" t="str">
            <v>KS</v>
          </cell>
          <cell r="F88" t="str">
            <v>Residential Total</v>
          </cell>
          <cell r="G88">
            <v>0</v>
          </cell>
          <cell r="H88">
            <v>8232</v>
          </cell>
          <cell r="I88">
            <v>8614236</v>
          </cell>
          <cell r="J88">
            <v>663123.52</v>
          </cell>
        </row>
        <row r="89">
          <cell r="C89" t="str">
            <v>KS</v>
          </cell>
          <cell r="F89" t="str">
            <v>Commercial</v>
          </cell>
          <cell r="G89" t="str">
            <v>CB-Commercial</v>
          </cell>
          <cell r="H89">
            <v>0</v>
          </cell>
          <cell r="I89">
            <v>737311</v>
          </cell>
          <cell r="J89">
            <v>74252.5</v>
          </cell>
        </row>
        <row r="90">
          <cell r="C90" t="str">
            <v>KS</v>
          </cell>
          <cell r="F90" t="str">
            <v>Commercial</v>
          </cell>
          <cell r="G90" t="str">
            <v>CB-Commercial</v>
          </cell>
          <cell r="H90">
            <v>0</v>
          </cell>
          <cell r="I90">
            <v>462420</v>
          </cell>
          <cell r="J90">
            <v>47118.68</v>
          </cell>
        </row>
        <row r="91">
          <cell r="C91" t="str">
            <v>KS</v>
          </cell>
          <cell r="F91" t="str">
            <v>Commercial</v>
          </cell>
          <cell r="G91" t="str">
            <v>CB-Commercial</v>
          </cell>
          <cell r="H91">
            <v>0</v>
          </cell>
          <cell r="I91">
            <v>2</v>
          </cell>
          <cell r="J91">
            <v>19.190000000000001</v>
          </cell>
        </row>
        <row r="92">
          <cell r="C92" t="str">
            <v>KS</v>
          </cell>
          <cell r="F92" t="str">
            <v>Commercial</v>
          </cell>
          <cell r="G92" t="str">
            <v>CB-Commercial Total</v>
          </cell>
          <cell r="H92">
            <v>1021</v>
          </cell>
          <cell r="I92">
            <v>1199733</v>
          </cell>
          <cell r="J92">
            <v>121390.37</v>
          </cell>
        </row>
        <row r="93">
          <cell r="C93" t="str">
            <v>KS</v>
          </cell>
          <cell r="F93" t="str">
            <v>Commercial</v>
          </cell>
          <cell r="G93" t="str">
            <v>GP-General Power</v>
          </cell>
          <cell r="H93">
            <v>0</v>
          </cell>
          <cell r="I93">
            <v>1140101</v>
          </cell>
          <cell r="J93">
            <v>83292.960000000006</v>
          </cell>
        </row>
        <row r="94">
          <cell r="C94" t="str">
            <v>KS</v>
          </cell>
          <cell r="F94" t="str">
            <v>Commercial</v>
          </cell>
          <cell r="G94" t="str">
            <v>GP-General Power</v>
          </cell>
          <cell r="H94">
            <v>0</v>
          </cell>
          <cell r="I94">
            <v>644891</v>
          </cell>
          <cell r="J94">
            <v>53690.01</v>
          </cell>
        </row>
        <row r="95">
          <cell r="C95" t="str">
            <v>KS</v>
          </cell>
          <cell r="F95" t="str">
            <v>Commercial</v>
          </cell>
          <cell r="G95" t="str">
            <v>GP-General Power Total</v>
          </cell>
          <cell r="H95">
            <v>64</v>
          </cell>
          <cell r="I95">
            <v>1784992</v>
          </cell>
          <cell r="J95">
            <v>136982.97</v>
          </cell>
        </row>
        <row r="96">
          <cell r="C96" t="str">
            <v>KS</v>
          </cell>
          <cell r="F96" t="str">
            <v>Commercial</v>
          </cell>
          <cell r="G96" t="str">
            <v>LS-Special Lighting</v>
          </cell>
          <cell r="H96">
            <v>0</v>
          </cell>
          <cell r="I96">
            <v>2160</v>
          </cell>
          <cell r="J96">
            <v>382.8</v>
          </cell>
        </row>
        <row r="97">
          <cell r="C97" t="str">
            <v>KS</v>
          </cell>
          <cell r="F97" t="str">
            <v>Commercial</v>
          </cell>
          <cell r="G97" t="str">
            <v>LS-Special Lighting Total</v>
          </cell>
          <cell r="H97">
            <v>7</v>
          </cell>
          <cell r="I97">
            <v>2160</v>
          </cell>
          <cell r="J97">
            <v>382.8</v>
          </cell>
        </row>
        <row r="98">
          <cell r="C98" t="str">
            <v>KS</v>
          </cell>
          <cell r="F98" t="str">
            <v>Commercial</v>
          </cell>
          <cell r="G98" t="str">
            <v>PL-Private Lighting</v>
          </cell>
          <cell r="H98">
            <v>0</v>
          </cell>
          <cell r="I98">
            <v>32367</v>
          </cell>
          <cell r="J98">
            <v>8148.73</v>
          </cell>
        </row>
        <row r="99">
          <cell r="C99" t="str">
            <v>KS</v>
          </cell>
          <cell r="F99" t="str">
            <v>Commercial</v>
          </cell>
          <cell r="G99" t="str">
            <v>PL-Private Lighting</v>
          </cell>
          <cell r="H99">
            <v>0</v>
          </cell>
          <cell r="I99">
            <v>21469</v>
          </cell>
          <cell r="J99">
            <v>5362.6</v>
          </cell>
        </row>
        <row r="100">
          <cell r="C100" t="str">
            <v>KS</v>
          </cell>
          <cell r="F100" t="str">
            <v>Commercial</v>
          </cell>
          <cell r="G100" t="str">
            <v>PL-Private Lighting Total</v>
          </cell>
          <cell r="H100">
            <v>17</v>
          </cell>
          <cell r="I100">
            <v>53836</v>
          </cell>
          <cell r="J100">
            <v>13511.33</v>
          </cell>
        </row>
        <row r="101">
          <cell r="C101" t="str">
            <v>KS</v>
          </cell>
          <cell r="F101" t="str">
            <v>Commercial</v>
          </cell>
          <cell r="G101" t="str">
            <v>SH-Small Heating</v>
          </cell>
          <cell r="H101">
            <v>0</v>
          </cell>
          <cell r="I101">
            <v>114252</v>
          </cell>
          <cell r="J101">
            <v>9374.9699999999993</v>
          </cell>
        </row>
        <row r="102">
          <cell r="C102" t="str">
            <v>KS</v>
          </cell>
          <cell r="F102" t="str">
            <v>Commercial</v>
          </cell>
          <cell r="G102" t="str">
            <v>SH-Small Heating</v>
          </cell>
          <cell r="H102">
            <v>0</v>
          </cell>
          <cell r="I102">
            <v>74236</v>
          </cell>
          <cell r="J102">
            <v>6340.23</v>
          </cell>
        </row>
        <row r="103">
          <cell r="C103" t="str">
            <v>KS</v>
          </cell>
          <cell r="F103" t="str">
            <v>Commercial</v>
          </cell>
          <cell r="G103" t="str">
            <v>SH-Small Heating Total</v>
          </cell>
          <cell r="H103">
            <v>102</v>
          </cell>
          <cell r="I103">
            <v>188488</v>
          </cell>
          <cell r="J103">
            <v>15715.199999999999</v>
          </cell>
        </row>
        <row r="104">
          <cell r="C104" t="str">
            <v>KS</v>
          </cell>
          <cell r="F104" t="str">
            <v>Commercial</v>
          </cell>
          <cell r="G104" t="str">
            <v>TEB-Total Electric Bldg</v>
          </cell>
          <cell r="H104">
            <v>0</v>
          </cell>
          <cell r="I104">
            <v>491906</v>
          </cell>
          <cell r="J104">
            <v>34007.33</v>
          </cell>
        </row>
        <row r="105">
          <cell r="C105" t="str">
            <v>KS</v>
          </cell>
          <cell r="F105" t="str">
            <v>Commercial</v>
          </cell>
          <cell r="G105" t="str">
            <v>TEB-Total Electric Bldg</v>
          </cell>
          <cell r="H105">
            <v>0</v>
          </cell>
          <cell r="I105">
            <v>131160</v>
          </cell>
          <cell r="J105">
            <v>10092.89</v>
          </cell>
        </row>
        <row r="106">
          <cell r="C106" t="str">
            <v>KS</v>
          </cell>
          <cell r="F106" t="str">
            <v>Commercial</v>
          </cell>
          <cell r="G106" t="str">
            <v>TEB-Total Electric Bldg Total</v>
          </cell>
          <cell r="H106">
            <v>35</v>
          </cell>
          <cell r="I106">
            <v>623066</v>
          </cell>
          <cell r="J106">
            <v>44100.22</v>
          </cell>
        </row>
        <row r="107">
          <cell r="C107" t="str">
            <v>KS</v>
          </cell>
          <cell r="F107" t="str">
            <v>Commercial Total</v>
          </cell>
          <cell r="G107">
            <v>0</v>
          </cell>
          <cell r="H107">
            <v>1246</v>
          </cell>
          <cell r="I107">
            <v>3852275</v>
          </cell>
          <cell r="J107">
            <v>332082.88999999996</v>
          </cell>
        </row>
        <row r="108">
          <cell r="C108" t="str">
            <v>KS</v>
          </cell>
          <cell r="F108" t="str">
            <v>Industrial</v>
          </cell>
          <cell r="G108" t="str">
            <v>CB-Commercial</v>
          </cell>
          <cell r="H108">
            <v>0</v>
          </cell>
          <cell r="I108">
            <v>13376</v>
          </cell>
          <cell r="J108">
            <v>1229.47</v>
          </cell>
        </row>
        <row r="109">
          <cell r="C109" t="str">
            <v>KS</v>
          </cell>
          <cell r="F109" t="str">
            <v>Industrial</v>
          </cell>
          <cell r="G109" t="str">
            <v>CB-Commercial</v>
          </cell>
          <cell r="H109">
            <v>0</v>
          </cell>
          <cell r="I109">
            <v>21386</v>
          </cell>
          <cell r="J109">
            <v>1845.58</v>
          </cell>
        </row>
        <row r="110">
          <cell r="C110" t="str">
            <v>KS</v>
          </cell>
          <cell r="F110" t="str">
            <v>Industrial</v>
          </cell>
          <cell r="G110" t="str">
            <v>CB-Commercial Total</v>
          </cell>
          <cell r="H110">
            <v>8</v>
          </cell>
          <cell r="I110">
            <v>34762</v>
          </cell>
          <cell r="J110">
            <v>3075.05</v>
          </cell>
        </row>
        <row r="111">
          <cell r="C111" t="str">
            <v>KS</v>
          </cell>
          <cell r="F111" t="str">
            <v>Industrial</v>
          </cell>
          <cell r="G111" t="str">
            <v>GP-General Power</v>
          </cell>
          <cell r="H111">
            <v>0</v>
          </cell>
          <cell r="I111">
            <v>392441</v>
          </cell>
          <cell r="J111">
            <v>33755.22</v>
          </cell>
        </row>
        <row r="112">
          <cell r="C112" t="str">
            <v>KS</v>
          </cell>
          <cell r="F112" t="str">
            <v>Industrial</v>
          </cell>
          <cell r="G112" t="str">
            <v>GP-General Power</v>
          </cell>
          <cell r="H112">
            <v>0</v>
          </cell>
          <cell r="I112">
            <v>511840</v>
          </cell>
          <cell r="J112">
            <v>40818.76</v>
          </cell>
        </row>
        <row r="113">
          <cell r="C113" t="str">
            <v>KS</v>
          </cell>
          <cell r="F113" t="str">
            <v>Industrial</v>
          </cell>
          <cell r="G113" t="str">
            <v>GP-General Power Total</v>
          </cell>
          <cell r="H113">
            <v>25</v>
          </cell>
          <cell r="I113">
            <v>904281</v>
          </cell>
          <cell r="J113">
            <v>74573.98000000001</v>
          </cell>
        </row>
        <row r="114">
          <cell r="C114" t="str">
            <v>KS</v>
          </cell>
          <cell r="F114" t="str">
            <v>Industrial</v>
          </cell>
          <cell r="G114" t="str">
            <v>PL-Private Lighting</v>
          </cell>
          <cell r="H114">
            <v>0</v>
          </cell>
          <cell r="I114">
            <v>11622</v>
          </cell>
          <cell r="J114">
            <v>2400.3200000000002</v>
          </cell>
        </row>
        <row r="115">
          <cell r="C115" t="str">
            <v>KS</v>
          </cell>
          <cell r="F115" t="str">
            <v>Industrial</v>
          </cell>
          <cell r="G115" t="str">
            <v>PL-Private Lighting</v>
          </cell>
          <cell r="H115">
            <v>0</v>
          </cell>
          <cell r="I115">
            <v>1202</v>
          </cell>
          <cell r="J115">
            <v>361.56</v>
          </cell>
        </row>
        <row r="116">
          <cell r="C116" t="str">
            <v>KS</v>
          </cell>
          <cell r="F116" t="str">
            <v>Industrial</v>
          </cell>
          <cell r="G116" t="str">
            <v>PL-Private Lighting Total</v>
          </cell>
          <cell r="H116">
            <v>0</v>
          </cell>
          <cell r="I116">
            <v>12824</v>
          </cell>
          <cell r="J116">
            <v>2761.88</v>
          </cell>
        </row>
        <row r="117">
          <cell r="C117" t="str">
            <v>KS</v>
          </cell>
          <cell r="F117" t="str">
            <v>Industrial</v>
          </cell>
          <cell r="G117" t="str">
            <v>PT-Transmission</v>
          </cell>
          <cell r="H117">
            <v>0</v>
          </cell>
          <cell r="I117">
            <v>3061891</v>
          </cell>
          <cell r="J117">
            <v>113871.32</v>
          </cell>
        </row>
        <row r="118">
          <cell r="C118" t="str">
            <v>KS</v>
          </cell>
          <cell r="F118" t="str">
            <v>Industrial</v>
          </cell>
          <cell r="G118" t="str">
            <v>PT-Transmission</v>
          </cell>
          <cell r="H118">
            <v>0</v>
          </cell>
          <cell r="I118">
            <v>638400</v>
          </cell>
          <cell r="J118">
            <v>43341.65</v>
          </cell>
        </row>
        <row r="119">
          <cell r="C119" t="str">
            <v>KS</v>
          </cell>
          <cell r="F119" t="str">
            <v>Industrial</v>
          </cell>
          <cell r="G119" t="str">
            <v>PT-Transmission Total</v>
          </cell>
          <cell r="H119">
            <v>5</v>
          </cell>
          <cell r="I119">
            <v>3700291</v>
          </cell>
          <cell r="J119">
            <v>157212.97</v>
          </cell>
        </row>
        <row r="120">
          <cell r="C120" t="str">
            <v>KS</v>
          </cell>
          <cell r="F120" t="str">
            <v>Industrial</v>
          </cell>
          <cell r="G120" t="str">
            <v>SH-Small Heating</v>
          </cell>
          <cell r="H120">
            <v>0</v>
          </cell>
          <cell r="I120">
            <v>13049</v>
          </cell>
          <cell r="J120">
            <v>985.88</v>
          </cell>
        </row>
        <row r="121">
          <cell r="C121" t="str">
            <v>KS</v>
          </cell>
          <cell r="F121" t="str">
            <v>Industrial</v>
          </cell>
          <cell r="G121" t="str">
            <v>SH-Small Heating</v>
          </cell>
          <cell r="H121">
            <v>0</v>
          </cell>
          <cell r="I121">
            <v>5815</v>
          </cell>
          <cell r="J121">
            <v>489.74</v>
          </cell>
        </row>
        <row r="122">
          <cell r="C122" t="str">
            <v>KS</v>
          </cell>
          <cell r="F122" t="str">
            <v>Industrial</v>
          </cell>
          <cell r="G122" t="str">
            <v>SH-Small Heating Total</v>
          </cell>
          <cell r="H122">
            <v>6</v>
          </cell>
          <cell r="I122">
            <v>18864</v>
          </cell>
          <cell r="J122">
            <v>1475.62</v>
          </cell>
        </row>
        <row r="123">
          <cell r="C123" t="str">
            <v>KS</v>
          </cell>
          <cell r="F123" t="str">
            <v>Industrial</v>
          </cell>
          <cell r="G123" t="str">
            <v>TEB-Total Electric Bldg</v>
          </cell>
          <cell r="H123">
            <v>0</v>
          </cell>
          <cell r="I123">
            <v>88880</v>
          </cell>
          <cell r="J123">
            <v>5857.58</v>
          </cell>
        </row>
        <row r="124">
          <cell r="C124" t="str">
            <v>KS</v>
          </cell>
          <cell r="F124" t="str">
            <v>Industrial</v>
          </cell>
          <cell r="G124" t="str">
            <v>TEB-Total Electric Bldg Total</v>
          </cell>
          <cell r="H124">
            <v>3</v>
          </cell>
          <cell r="I124">
            <v>88880</v>
          </cell>
          <cell r="J124">
            <v>5857.58</v>
          </cell>
        </row>
        <row r="125">
          <cell r="C125" t="str">
            <v>KS</v>
          </cell>
          <cell r="F125" t="str">
            <v>Industrial Total</v>
          </cell>
          <cell r="G125">
            <v>0</v>
          </cell>
          <cell r="H125">
            <v>47</v>
          </cell>
          <cell r="I125">
            <v>4759902</v>
          </cell>
          <cell r="J125">
            <v>244957.08</v>
          </cell>
        </row>
        <row r="126">
          <cell r="C126" t="str">
            <v>KS</v>
          </cell>
          <cell r="F126" t="str">
            <v>Muni Street &amp; Highway Lighting</v>
          </cell>
          <cell r="G126" t="str">
            <v>CB-Commercial</v>
          </cell>
          <cell r="H126">
            <v>0</v>
          </cell>
          <cell r="I126">
            <v>11182</v>
          </cell>
          <cell r="J126">
            <v>1533.52</v>
          </cell>
        </row>
        <row r="127">
          <cell r="C127" t="str">
            <v>KS</v>
          </cell>
          <cell r="F127" t="str">
            <v>Muni Street &amp; Highway Lighting</v>
          </cell>
          <cell r="G127" t="str">
            <v>CB-Commercial</v>
          </cell>
          <cell r="H127">
            <v>0</v>
          </cell>
          <cell r="I127">
            <v>2169</v>
          </cell>
          <cell r="J127">
            <v>524.38</v>
          </cell>
        </row>
        <row r="128">
          <cell r="C128" t="str">
            <v>KS</v>
          </cell>
          <cell r="F128" t="str">
            <v>Muni Street &amp; Highway Lighting</v>
          </cell>
          <cell r="G128" t="str">
            <v>CB-Commercial Total</v>
          </cell>
          <cell r="H128">
            <v>45</v>
          </cell>
          <cell r="I128">
            <v>13351</v>
          </cell>
          <cell r="J128">
            <v>2057.9</v>
          </cell>
        </row>
        <row r="129">
          <cell r="C129" t="str">
            <v>KS</v>
          </cell>
          <cell r="F129" t="str">
            <v>Muni Street &amp; Highway Lighting</v>
          </cell>
          <cell r="G129" t="str">
            <v>LS-Special Lighting</v>
          </cell>
          <cell r="H129">
            <v>0</v>
          </cell>
          <cell r="I129">
            <v>394881</v>
          </cell>
          <cell r="J129">
            <v>38067.35</v>
          </cell>
        </row>
        <row r="130">
          <cell r="C130" t="str">
            <v>KS</v>
          </cell>
          <cell r="F130" t="str">
            <v>Muni Street &amp; Highway Lighting</v>
          </cell>
          <cell r="G130" t="str">
            <v>LS-Special Lighting</v>
          </cell>
          <cell r="H130">
            <v>0</v>
          </cell>
          <cell r="I130">
            <v>31</v>
          </cell>
          <cell r="J130">
            <v>39.6</v>
          </cell>
        </row>
        <row r="131">
          <cell r="C131" t="str">
            <v>KS</v>
          </cell>
          <cell r="F131" t="str">
            <v>Muni Street &amp; Highway Lighting</v>
          </cell>
          <cell r="G131" t="str">
            <v>LS-Special Lighting</v>
          </cell>
          <cell r="H131">
            <v>0</v>
          </cell>
          <cell r="I131">
            <v>-393760</v>
          </cell>
          <cell r="J131">
            <v>-37835.760000000002</v>
          </cell>
        </row>
        <row r="132">
          <cell r="C132" t="str">
            <v>KS</v>
          </cell>
          <cell r="F132" t="str">
            <v>Muni Street &amp; Highway Lighting</v>
          </cell>
          <cell r="G132" t="str">
            <v>LS-Special Lighting Total</v>
          </cell>
          <cell r="H132">
            <v>9</v>
          </cell>
          <cell r="I132">
            <v>1152</v>
          </cell>
          <cell r="J132">
            <v>271.18999999999505</v>
          </cell>
        </row>
        <row r="133">
          <cell r="C133" t="str">
            <v>KS</v>
          </cell>
          <cell r="F133" t="str">
            <v>Muni Street &amp; Highway Lighting</v>
          </cell>
          <cell r="G133" t="str">
            <v>PL-Private Lighting</v>
          </cell>
          <cell r="H133">
            <v>0</v>
          </cell>
          <cell r="I133">
            <v>429</v>
          </cell>
          <cell r="J133">
            <v>67.099999999999994</v>
          </cell>
        </row>
        <row r="134">
          <cell r="C134" t="str">
            <v>KS</v>
          </cell>
          <cell r="F134" t="str">
            <v>Muni Street &amp; Highway Lighting</v>
          </cell>
          <cell r="G134" t="str">
            <v>PL-Private Lighting</v>
          </cell>
          <cell r="H134">
            <v>0</v>
          </cell>
          <cell r="I134">
            <v>290</v>
          </cell>
          <cell r="J134">
            <v>87.1</v>
          </cell>
        </row>
        <row r="135">
          <cell r="C135" t="str">
            <v>KS</v>
          </cell>
          <cell r="F135" t="str">
            <v>Muni Street &amp; Highway Lighting</v>
          </cell>
          <cell r="G135" t="str">
            <v>PL-Private Lighting Total</v>
          </cell>
          <cell r="H135">
            <v>0</v>
          </cell>
          <cell r="I135">
            <v>719</v>
          </cell>
          <cell r="J135">
            <v>154.19999999999999</v>
          </cell>
        </row>
        <row r="136">
          <cell r="C136" t="str">
            <v>KS</v>
          </cell>
          <cell r="F136" t="str">
            <v>Muni Street &amp; Highway Lighting</v>
          </cell>
          <cell r="G136" t="str">
            <v>SPL-Municipal St Lighting</v>
          </cell>
          <cell r="H136">
            <v>0</v>
          </cell>
          <cell r="I136">
            <v>85381</v>
          </cell>
          <cell r="J136">
            <v>5182.9799999999996</v>
          </cell>
        </row>
        <row r="137">
          <cell r="C137" t="str">
            <v>KS</v>
          </cell>
          <cell r="F137" t="str">
            <v>Muni Street &amp; Highway Lighting</v>
          </cell>
          <cell r="G137" t="str">
            <v>SPL-Municipal St Lighting</v>
          </cell>
          <cell r="H137">
            <v>0</v>
          </cell>
          <cell r="I137">
            <v>76425</v>
          </cell>
          <cell r="J137">
            <v>5013.92</v>
          </cell>
        </row>
        <row r="138">
          <cell r="C138" t="str">
            <v>KS</v>
          </cell>
          <cell r="F138" t="str">
            <v>Muni Street &amp; Highway Lighting</v>
          </cell>
          <cell r="G138" t="str">
            <v>SPL-Municipal St Lighting Total</v>
          </cell>
          <cell r="H138">
            <v>0</v>
          </cell>
          <cell r="I138">
            <v>161806</v>
          </cell>
          <cell r="J138">
            <v>10196.9</v>
          </cell>
        </row>
        <row r="139">
          <cell r="C139" t="str">
            <v>KS</v>
          </cell>
          <cell r="F139" t="str">
            <v>Muni Street &amp; Highway Lighting Total</v>
          </cell>
          <cell r="G139">
            <v>0</v>
          </cell>
          <cell r="H139">
            <v>54</v>
          </cell>
          <cell r="I139">
            <v>177028</v>
          </cell>
          <cell r="J139">
            <v>12680.189999999995</v>
          </cell>
        </row>
        <row r="140">
          <cell r="C140" t="str">
            <v>KS</v>
          </cell>
          <cell r="F140" t="str">
            <v>Other Public Authority</v>
          </cell>
          <cell r="G140" t="str">
            <v>CB-Commercial</v>
          </cell>
          <cell r="H140">
            <v>0</v>
          </cell>
          <cell r="I140">
            <v>24719</v>
          </cell>
          <cell r="J140">
            <v>2658.92</v>
          </cell>
        </row>
        <row r="141">
          <cell r="C141" t="str">
            <v>KS</v>
          </cell>
          <cell r="F141" t="str">
            <v>Other Public Authority</v>
          </cell>
          <cell r="G141" t="str">
            <v>CB-Commercial</v>
          </cell>
          <cell r="H141">
            <v>0</v>
          </cell>
          <cell r="I141">
            <v>28771</v>
          </cell>
          <cell r="J141">
            <v>2722.43</v>
          </cell>
        </row>
        <row r="142">
          <cell r="C142" t="str">
            <v>KS</v>
          </cell>
          <cell r="F142" t="str">
            <v>Other Public Authority</v>
          </cell>
          <cell r="G142" t="str">
            <v>CB-Commercial</v>
          </cell>
          <cell r="H142">
            <v>0</v>
          </cell>
          <cell r="I142">
            <v>18979</v>
          </cell>
          <cell r="J142">
            <v>2103.5300000000002</v>
          </cell>
        </row>
        <row r="143">
          <cell r="C143" t="str">
            <v>KS</v>
          </cell>
          <cell r="F143" t="str">
            <v>Other Public Authority</v>
          </cell>
          <cell r="G143" t="str">
            <v>CB-Commercial</v>
          </cell>
          <cell r="H143">
            <v>0</v>
          </cell>
          <cell r="I143">
            <v>9353</v>
          </cell>
          <cell r="J143">
            <v>1127.31</v>
          </cell>
        </row>
        <row r="144">
          <cell r="C144" t="str">
            <v>KS</v>
          </cell>
          <cell r="F144" t="str">
            <v>Other Public Authority</v>
          </cell>
          <cell r="G144" t="str">
            <v>CB-Commercial Total</v>
          </cell>
          <cell r="H144">
            <v>83</v>
          </cell>
          <cell r="I144">
            <v>81822</v>
          </cell>
          <cell r="J144">
            <v>8612.19</v>
          </cell>
        </row>
        <row r="145">
          <cell r="C145" t="str">
            <v>KS</v>
          </cell>
          <cell r="F145" t="str">
            <v>Other Public Authority</v>
          </cell>
          <cell r="G145" t="str">
            <v>GP-General Power</v>
          </cell>
          <cell r="H145">
            <v>0</v>
          </cell>
          <cell r="I145">
            <v>43360</v>
          </cell>
          <cell r="J145">
            <v>3238.98</v>
          </cell>
        </row>
        <row r="146">
          <cell r="C146" t="str">
            <v>KS</v>
          </cell>
          <cell r="F146" t="str">
            <v>Other Public Authority</v>
          </cell>
          <cell r="G146" t="str">
            <v>GP-General Power</v>
          </cell>
          <cell r="H146">
            <v>0</v>
          </cell>
          <cell r="I146">
            <v>96560</v>
          </cell>
          <cell r="J146">
            <v>7754.38</v>
          </cell>
        </row>
        <row r="147">
          <cell r="C147" t="str">
            <v>KS</v>
          </cell>
          <cell r="F147" t="str">
            <v>Other Public Authority</v>
          </cell>
          <cell r="G147" t="str">
            <v>GP-General Power</v>
          </cell>
          <cell r="H147">
            <v>0</v>
          </cell>
          <cell r="I147">
            <v>21040</v>
          </cell>
          <cell r="J147">
            <v>1410.71</v>
          </cell>
        </row>
        <row r="148">
          <cell r="C148" t="str">
            <v>KS</v>
          </cell>
          <cell r="F148" t="str">
            <v>Other Public Authority</v>
          </cell>
          <cell r="G148" t="str">
            <v>GP-General Power</v>
          </cell>
          <cell r="H148">
            <v>0</v>
          </cell>
          <cell r="I148">
            <v>17233</v>
          </cell>
          <cell r="J148">
            <v>2887.05</v>
          </cell>
        </row>
        <row r="149">
          <cell r="C149" t="str">
            <v>KS</v>
          </cell>
          <cell r="F149" t="str">
            <v>Other Public Authority</v>
          </cell>
          <cell r="G149" t="str">
            <v>GP-General Power Total</v>
          </cell>
          <cell r="H149">
            <v>13</v>
          </cell>
          <cell r="I149">
            <v>178193</v>
          </cell>
          <cell r="J149">
            <v>15291.119999999999</v>
          </cell>
        </row>
        <row r="150">
          <cell r="C150" t="str">
            <v>KS</v>
          </cell>
          <cell r="F150" t="str">
            <v>Other Public Authority</v>
          </cell>
          <cell r="G150" t="str">
            <v>LS-Special Lighting</v>
          </cell>
          <cell r="H150">
            <v>0</v>
          </cell>
          <cell r="I150">
            <v>0</v>
          </cell>
          <cell r="J150">
            <v>0</v>
          </cell>
        </row>
        <row r="151">
          <cell r="C151" t="str">
            <v>KS</v>
          </cell>
          <cell r="F151" t="str">
            <v>Other Public Authority</v>
          </cell>
          <cell r="G151" t="str">
            <v>LS-Special Lighting Total</v>
          </cell>
          <cell r="H151">
            <v>1</v>
          </cell>
          <cell r="I151">
            <v>0</v>
          </cell>
          <cell r="J151">
            <v>0</v>
          </cell>
        </row>
        <row r="152">
          <cell r="C152" t="str">
            <v>KS</v>
          </cell>
          <cell r="F152" t="str">
            <v>Other Public Authority</v>
          </cell>
          <cell r="G152" t="str">
            <v>PL-Private Lighting</v>
          </cell>
          <cell r="H152">
            <v>0</v>
          </cell>
          <cell r="I152">
            <v>157</v>
          </cell>
          <cell r="J152">
            <v>39.520000000000003</v>
          </cell>
        </row>
        <row r="153">
          <cell r="C153" t="str">
            <v>KS</v>
          </cell>
          <cell r="F153" t="str">
            <v>Other Public Authority</v>
          </cell>
          <cell r="G153" t="str">
            <v>PL-Private Lighting Total</v>
          </cell>
          <cell r="H153">
            <v>0</v>
          </cell>
          <cell r="I153">
            <v>157</v>
          </cell>
          <cell r="J153">
            <v>39.520000000000003</v>
          </cell>
        </row>
        <row r="154">
          <cell r="C154" t="str">
            <v>KS</v>
          </cell>
          <cell r="F154" t="str">
            <v>Other Public Authority</v>
          </cell>
          <cell r="G154" t="str">
            <v>SH-Small Heating</v>
          </cell>
          <cell r="H154">
            <v>0</v>
          </cell>
          <cell r="I154">
            <v>3680</v>
          </cell>
          <cell r="J154">
            <v>284.52</v>
          </cell>
        </row>
        <row r="155">
          <cell r="C155" t="str">
            <v>KS</v>
          </cell>
          <cell r="F155" t="str">
            <v>Other Public Authority</v>
          </cell>
          <cell r="G155" t="str">
            <v>SH-Small Heating</v>
          </cell>
          <cell r="H155">
            <v>0</v>
          </cell>
          <cell r="I155">
            <v>10600</v>
          </cell>
          <cell r="J155">
            <v>794.64</v>
          </cell>
        </row>
        <row r="156">
          <cell r="C156" t="str">
            <v>KS</v>
          </cell>
          <cell r="F156" t="str">
            <v>Other Public Authority</v>
          </cell>
          <cell r="G156" t="str">
            <v>SH-Small Heating Total</v>
          </cell>
          <cell r="H156">
            <v>3</v>
          </cell>
          <cell r="I156">
            <v>14280</v>
          </cell>
          <cell r="J156">
            <v>1079.1599999999999</v>
          </cell>
        </row>
        <row r="157">
          <cell r="C157" t="str">
            <v>KS</v>
          </cell>
          <cell r="F157" t="str">
            <v>Other Public Authority</v>
          </cell>
          <cell r="G157" t="str">
            <v>TEB-Total Electric Bldg</v>
          </cell>
          <cell r="H157">
            <v>0</v>
          </cell>
          <cell r="I157">
            <v>9840</v>
          </cell>
          <cell r="J157">
            <v>850.23</v>
          </cell>
        </row>
        <row r="158">
          <cell r="C158" t="str">
            <v>KS</v>
          </cell>
          <cell r="F158" t="str">
            <v>Other Public Authority</v>
          </cell>
          <cell r="G158" t="str">
            <v>TEB-Total Electric Bldg Total</v>
          </cell>
          <cell r="H158">
            <v>1</v>
          </cell>
          <cell r="I158">
            <v>9840</v>
          </cell>
          <cell r="J158">
            <v>850.23</v>
          </cell>
        </row>
        <row r="159">
          <cell r="C159" t="str">
            <v>KS</v>
          </cell>
          <cell r="F159" t="str">
            <v>Other Public Authority Total</v>
          </cell>
          <cell r="G159">
            <v>0</v>
          </cell>
          <cell r="H159">
            <v>101</v>
          </cell>
          <cell r="I159">
            <v>284292</v>
          </cell>
          <cell r="J159">
            <v>25872.219999999998</v>
          </cell>
        </row>
        <row r="160">
          <cell r="C160" t="str">
            <v>KS</v>
          </cell>
          <cell r="F160" t="str">
            <v>Interdepartmental</v>
          </cell>
          <cell r="G160" t="str">
            <v>CB-Commercial</v>
          </cell>
          <cell r="H160">
            <v>0</v>
          </cell>
          <cell r="I160">
            <v>9831</v>
          </cell>
          <cell r="J160">
            <v>864.64</v>
          </cell>
        </row>
        <row r="161">
          <cell r="C161" t="str">
            <v>KS</v>
          </cell>
          <cell r="F161" t="str">
            <v>Interdepartmental</v>
          </cell>
          <cell r="G161" t="str">
            <v>CB-Commercial Total</v>
          </cell>
          <cell r="H161">
            <v>2</v>
          </cell>
          <cell r="I161">
            <v>9831</v>
          </cell>
          <cell r="J161">
            <v>864.64</v>
          </cell>
        </row>
        <row r="162">
          <cell r="C162" t="str">
            <v>KS</v>
          </cell>
          <cell r="F162" t="str">
            <v>Interdepartmental</v>
          </cell>
          <cell r="G162" t="str">
            <v>GP-General Power</v>
          </cell>
          <cell r="H162">
            <v>0</v>
          </cell>
          <cell r="I162">
            <v>0</v>
          </cell>
          <cell r="J162">
            <v>1041.5999999999999</v>
          </cell>
        </row>
        <row r="163">
          <cell r="C163" t="str">
            <v>KS</v>
          </cell>
          <cell r="F163" t="str">
            <v>Interdepartmental</v>
          </cell>
          <cell r="G163" t="str">
            <v>GP-General Power Total</v>
          </cell>
          <cell r="H163">
            <v>2</v>
          </cell>
          <cell r="I163">
            <v>0</v>
          </cell>
          <cell r="J163">
            <v>1041.5999999999999</v>
          </cell>
        </row>
        <row r="164">
          <cell r="C164" t="str">
            <v>KS</v>
          </cell>
          <cell r="F164" t="str">
            <v>Interdepartmental Total</v>
          </cell>
          <cell r="G164">
            <v>0</v>
          </cell>
          <cell r="H164">
            <v>4</v>
          </cell>
          <cell r="I164">
            <v>9831</v>
          </cell>
          <cell r="J164">
            <v>1906.2399999999998</v>
          </cell>
        </row>
        <row r="165">
          <cell r="C165" t="str">
            <v>KS Total Retail</v>
          </cell>
          <cell r="F165">
            <v>0</v>
          </cell>
          <cell r="G165">
            <v>0</v>
          </cell>
          <cell r="H165">
            <v>9684</v>
          </cell>
          <cell r="I165">
            <v>17697564</v>
          </cell>
          <cell r="J165">
            <v>1280622.1399999999</v>
          </cell>
        </row>
        <row r="166">
          <cell r="C166" t="str">
            <v>KS</v>
          </cell>
          <cell r="F166" t="str">
            <v>Wholesale Municipalities</v>
          </cell>
          <cell r="G166" t="str">
            <v>GFR-Chetopa</v>
          </cell>
          <cell r="H166">
            <v>0</v>
          </cell>
          <cell r="I166">
            <v>999897</v>
          </cell>
          <cell r="J166">
            <v>43183.05</v>
          </cell>
        </row>
        <row r="167">
          <cell r="C167" t="str">
            <v>KS</v>
          </cell>
          <cell r="F167" t="str">
            <v>chetopa total</v>
          </cell>
          <cell r="G167" t="str">
            <v>GFR-Chetopa Total</v>
          </cell>
          <cell r="H167">
            <v>1</v>
          </cell>
          <cell r="I167">
            <v>999897</v>
          </cell>
          <cell r="J167">
            <v>43183.05</v>
          </cell>
        </row>
        <row r="168">
          <cell r="C168" t="str">
            <v>KS</v>
          </cell>
          <cell r="F168" t="str">
            <v>Wholesale Municipalities Total</v>
          </cell>
          <cell r="G168">
            <v>0</v>
          </cell>
          <cell r="H168">
            <v>1</v>
          </cell>
          <cell r="I168">
            <v>999897</v>
          </cell>
          <cell r="J168">
            <v>43183.05</v>
          </cell>
        </row>
        <row r="169">
          <cell r="C169" t="str">
            <v>KS Total</v>
          </cell>
          <cell r="F169">
            <v>0</v>
          </cell>
          <cell r="G169">
            <v>0</v>
          </cell>
          <cell r="H169">
            <v>9685</v>
          </cell>
          <cell r="I169">
            <v>18697461</v>
          </cell>
          <cell r="J169">
            <v>1323805.19</v>
          </cell>
        </row>
        <row r="170">
          <cell r="C170" t="str">
            <v>Missouri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St</v>
          </cell>
          <cell r="F171" t="str">
            <v>Revenue Class</v>
          </cell>
          <cell r="G171" t="str">
            <v>Pricing Plan</v>
          </cell>
          <cell r="H171" t="str">
            <v>Customers</v>
          </cell>
          <cell r="I171" t="str">
            <v>KWH</v>
          </cell>
          <cell r="J171" t="str">
            <v>Usage</v>
          </cell>
        </row>
        <row r="172">
          <cell r="C172" t="str">
            <v>MO</v>
          </cell>
          <cell r="F172" t="str">
            <v>Residential</v>
          </cell>
          <cell r="G172" t="str">
            <v>NM-Net Metering</v>
          </cell>
          <cell r="H172">
            <v>0</v>
          </cell>
          <cell r="I172">
            <v>-1529</v>
          </cell>
          <cell r="J172">
            <v>-54.3</v>
          </cell>
        </row>
        <row r="173">
          <cell r="C173" t="str">
            <v>MO</v>
          </cell>
          <cell r="F173" t="str">
            <v>Residential</v>
          </cell>
          <cell r="G173" t="str">
            <v>NM-Net Metering</v>
          </cell>
          <cell r="H173">
            <v>0</v>
          </cell>
          <cell r="I173">
            <v>-3957</v>
          </cell>
          <cell r="J173">
            <v>-140.47999999999999</v>
          </cell>
        </row>
        <row r="174">
          <cell r="C174" t="str">
            <v>MO</v>
          </cell>
          <cell r="F174" t="str">
            <v>Residential</v>
          </cell>
          <cell r="G174" t="str">
            <v>NM-Net Metering</v>
          </cell>
          <cell r="H174">
            <v>0</v>
          </cell>
          <cell r="I174">
            <v>-491</v>
          </cell>
          <cell r="J174">
            <v>-17.420000000000002</v>
          </cell>
        </row>
        <row r="175">
          <cell r="C175" t="str">
            <v>MO</v>
          </cell>
          <cell r="F175" t="str">
            <v>Residential</v>
          </cell>
          <cell r="G175" t="str">
            <v>NM-Net Metering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MO</v>
          </cell>
          <cell r="F176" t="str">
            <v>Residential</v>
          </cell>
          <cell r="G176" t="str">
            <v>NM-Net Metering</v>
          </cell>
          <cell r="H176">
            <v>0</v>
          </cell>
          <cell r="I176">
            <v>-6981</v>
          </cell>
          <cell r="J176">
            <v>-247.84</v>
          </cell>
        </row>
        <row r="177">
          <cell r="C177" t="str">
            <v>MO</v>
          </cell>
          <cell r="F177" t="str">
            <v>Residential</v>
          </cell>
          <cell r="G177" t="str">
            <v>NM-Net Metering</v>
          </cell>
          <cell r="H177">
            <v>0</v>
          </cell>
          <cell r="I177">
            <v>-4648</v>
          </cell>
          <cell r="J177">
            <v>-165.02</v>
          </cell>
        </row>
        <row r="178">
          <cell r="C178" t="str">
            <v>MO</v>
          </cell>
          <cell r="F178" t="str">
            <v>Residential</v>
          </cell>
          <cell r="G178" t="str">
            <v>NM-Net Metering</v>
          </cell>
          <cell r="H178">
            <v>0</v>
          </cell>
          <cell r="I178">
            <v>-1906</v>
          </cell>
          <cell r="J178">
            <v>-67.66</v>
          </cell>
        </row>
        <row r="179">
          <cell r="C179" t="str">
            <v>MO</v>
          </cell>
          <cell r="F179" t="str">
            <v>Residential</v>
          </cell>
          <cell r="G179" t="str">
            <v>NM-Net Metering</v>
          </cell>
          <cell r="H179">
            <v>0</v>
          </cell>
          <cell r="I179">
            <v>-1240</v>
          </cell>
          <cell r="J179">
            <v>-44.01</v>
          </cell>
        </row>
        <row r="180">
          <cell r="C180" t="str">
            <v>MO</v>
          </cell>
          <cell r="F180" t="str">
            <v>Residential</v>
          </cell>
          <cell r="G180" t="str">
            <v>NM-Net Metering</v>
          </cell>
          <cell r="H180">
            <v>0</v>
          </cell>
          <cell r="I180">
            <v>-3899</v>
          </cell>
          <cell r="J180">
            <v>-138.41999999999999</v>
          </cell>
        </row>
        <row r="181">
          <cell r="C181" t="str">
            <v>MO</v>
          </cell>
          <cell r="F181" t="str">
            <v>Residential</v>
          </cell>
          <cell r="G181" t="str">
            <v>NM-Net Metering Total</v>
          </cell>
          <cell r="H181">
            <v>0</v>
          </cell>
          <cell r="I181">
            <v>-24651</v>
          </cell>
          <cell r="J181">
            <v>-875.14999999999986</v>
          </cell>
        </row>
        <row r="182">
          <cell r="C182" t="str">
            <v>MO</v>
          </cell>
          <cell r="F182" t="str">
            <v>Residential</v>
          </cell>
          <cell r="G182" t="str">
            <v>PL-Private Lighting</v>
          </cell>
          <cell r="H182">
            <v>0</v>
          </cell>
          <cell r="I182">
            <v>55303</v>
          </cell>
          <cell r="J182">
            <v>20120.16</v>
          </cell>
        </row>
        <row r="183">
          <cell r="C183" t="str">
            <v>MO</v>
          </cell>
          <cell r="F183" t="str">
            <v>Residential</v>
          </cell>
          <cell r="G183" t="str">
            <v>PL-Private Lighting</v>
          </cell>
          <cell r="H183">
            <v>0</v>
          </cell>
          <cell r="I183">
            <v>31</v>
          </cell>
          <cell r="J183">
            <v>14.58</v>
          </cell>
        </row>
        <row r="184">
          <cell r="C184" t="str">
            <v>MO</v>
          </cell>
          <cell r="F184" t="str">
            <v>Residential</v>
          </cell>
          <cell r="G184" t="str">
            <v>PL-Private Lighting</v>
          </cell>
          <cell r="H184">
            <v>0</v>
          </cell>
          <cell r="I184">
            <v>45163</v>
          </cell>
          <cell r="J184">
            <v>16639.310000000001</v>
          </cell>
        </row>
        <row r="185">
          <cell r="C185" t="str">
            <v>MO</v>
          </cell>
          <cell r="F185" t="str">
            <v>Residential</v>
          </cell>
          <cell r="G185" t="str">
            <v>PL-Private Lighting</v>
          </cell>
          <cell r="H185">
            <v>0</v>
          </cell>
          <cell r="I185">
            <v>25674</v>
          </cell>
          <cell r="J185">
            <v>10079.65</v>
          </cell>
        </row>
        <row r="186">
          <cell r="C186" t="str">
            <v>MO</v>
          </cell>
          <cell r="F186" t="str">
            <v>Residential</v>
          </cell>
          <cell r="G186" t="str">
            <v>PL-Private Lighting</v>
          </cell>
          <cell r="H186">
            <v>0</v>
          </cell>
          <cell r="I186">
            <v>321</v>
          </cell>
          <cell r="J186">
            <v>139.13</v>
          </cell>
        </row>
        <row r="187">
          <cell r="C187" t="str">
            <v>MO</v>
          </cell>
          <cell r="F187" t="str">
            <v>Residential</v>
          </cell>
          <cell r="G187" t="str">
            <v>PL-Private Lighting</v>
          </cell>
          <cell r="H187">
            <v>0</v>
          </cell>
          <cell r="I187">
            <v>62</v>
          </cell>
          <cell r="J187">
            <v>29.16</v>
          </cell>
        </row>
        <row r="188">
          <cell r="C188" t="str">
            <v>MO</v>
          </cell>
          <cell r="F188" t="str">
            <v>Residential</v>
          </cell>
          <cell r="G188" t="str">
            <v>PL-Private Lighting</v>
          </cell>
          <cell r="H188">
            <v>0</v>
          </cell>
          <cell r="I188">
            <v>59828</v>
          </cell>
          <cell r="J188">
            <v>21654.78</v>
          </cell>
        </row>
        <row r="189">
          <cell r="C189" t="str">
            <v>MO</v>
          </cell>
          <cell r="F189" t="str">
            <v>Residential</v>
          </cell>
          <cell r="G189" t="str">
            <v>PL-Private Lighting</v>
          </cell>
          <cell r="H189">
            <v>0</v>
          </cell>
          <cell r="I189">
            <v>69451</v>
          </cell>
          <cell r="J189">
            <v>25836.63</v>
          </cell>
        </row>
        <row r="190">
          <cell r="C190" t="str">
            <v>MO</v>
          </cell>
          <cell r="F190" t="str">
            <v>Residential</v>
          </cell>
          <cell r="G190" t="str">
            <v>PL-Private Lighting</v>
          </cell>
          <cell r="H190">
            <v>0</v>
          </cell>
          <cell r="I190">
            <v>29807</v>
          </cell>
          <cell r="J190">
            <v>11117.22</v>
          </cell>
        </row>
        <row r="191">
          <cell r="C191" t="str">
            <v>MO</v>
          </cell>
          <cell r="F191" t="str">
            <v>Residential</v>
          </cell>
          <cell r="G191" t="str">
            <v>PL-Private Lighting</v>
          </cell>
          <cell r="H191">
            <v>0</v>
          </cell>
          <cell r="I191">
            <v>65</v>
          </cell>
          <cell r="J191">
            <v>15.79</v>
          </cell>
        </row>
        <row r="192">
          <cell r="C192" t="str">
            <v>MO</v>
          </cell>
          <cell r="F192" t="str">
            <v>Residential</v>
          </cell>
          <cell r="G192" t="str">
            <v>PL-Private Lighting</v>
          </cell>
          <cell r="H192">
            <v>0</v>
          </cell>
          <cell r="I192">
            <v>6626</v>
          </cell>
          <cell r="J192">
            <v>2246.2199999999998</v>
          </cell>
        </row>
        <row r="193">
          <cell r="C193" t="str">
            <v>MO</v>
          </cell>
          <cell r="F193" t="str">
            <v>Residential</v>
          </cell>
          <cell r="G193" t="str">
            <v>PL-Private Lighting</v>
          </cell>
          <cell r="H193">
            <v>0</v>
          </cell>
          <cell r="I193">
            <v>69968</v>
          </cell>
          <cell r="J193">
            <v>26067.759999999998</v>
          </cell>
        </row>
        <row r="194">
          <cell r="C194" t="str">
            <v>MO</v>
          </cell>
          <cell r="F194" t="str">
            <v>Residential</v>
          </cell>
          <cell r="G194" t="str">
            <v>PL-Private Lighting Total</v>
          </cell>
          <cell r="H194">
            <v>131</v>
          </cell>
          <cell r="I194">
            <v>362299</v>
          </cell>
          <cell r="J194">
            <v>133960.39000000001</v>
          </cell>
        </row>
        <row r="195">
          <cell r="C195" t="str">
            <v>MO</v>
          </cell>
          <cell r="F195" t="str">
            <v>Residential</v>
          </cell>
          <cell r="G195" t="str">
            <v>RG-Residential</v>
          </cell>
          <cell r="H195">
            <v>0</v>
          </cell>
          <cell r="I195">
            <v>13569315</v>
          </cell>
          <cell r="J195">
            <v>1785502.76</v>
          </cell>
        </row>
        <row r="196">
          <cell r="C196" t="str">
            <v>MO</v>
          </cell>
          <cell r="F196" t="str">
            <v>Residential</v>
          </cell>
          <cell r="G196" t="str">
            <v>RG-Residential</v>
          </cell>
          <cell r="H196">
            <v>0</v>
          </cell>
          <cell r="I196">
            <v>3111</v>
          </cell>
          <cell r="J196">
            <v>384.15</v>
          </cell>
        </row>
        <row r="197">
          <cell r="C197" t="str">
            <v>MO</v>
          </cell>
          <cell r="F197" t="str">
            <v>Residential</v>
          </cell>
          <cell r="G197" t="str">
            <v>RG-Residential</v>
          </cell>
          <cell r="H197">
            <v>0</v>
          </cell>
          <cell r="I197">
            <v>47</v>
          </cell>
          <cell r="J197">
            <v>24.34</v>
          </cell>
        </row>
        <row r="198">
          <cell r="C198" t="str">
            <v>MO</v>
          </cell>
          <cell r="F198" t="str">
            <v>Residential</v>
          </cell>
          <cell r="G198" t="str">
            <v>RG-Residential</v>
          </cell>
          <cell r="H198">
            <v>0</v>
          </cell>
          <cell r="I198">
            <v>16099238</v>
          </cell>
          <cell r="J198">
            <v>2049232.71</v>
          </cell>
        </row>
        <row r="199">
          <cell r="C199" t="str">
            <v>MO</v>
          </cell>
          <cell r="F199" t="str">
            <v>Residential</v>
          </cell>
          <cell r="G199" t="str">
            <v>RG-Residential</v>
          </cell>
          <cell r="H199">
            <v>0</v>
          </cell>
          <cell r="I199">
            <v>21368978</v>
          </cell>
          <cell r="J199">
            <v>2708059.75</v>
          </cell>
        </row>
        <row r="200">
          <cell r="C200" t="str">
            <v>MO</v>
          </cell>
          <cell r="F200" t="str">
            <v>Residential</v>
          </cell>
          <cell r="G200" t="str">
            <v>RG-Residential</v>
          </cell>
          <cell r="H200">
            <v>0</v>
          </cell>
          <cell r="I200">
            <v>25001</v>
          </cell>
          <cell r="J200">
            <v>3247.3</v>
          </cell>
        </row>
        <row r="201">
          <cell r="C201" t="str">
            <v>MO</v>
          </cell>
          <cell r="F201" t="str">
            <v>Residential</v>
          </cell>
          <cell r="G201" t="str">
            <v>RG-Residential</v>
          </cell>
          <cell r="H201">
            <v>0</v>
          </cell>
          <cell r="I201">
            <v>24880</v>
          </cell>
          <cell r="J201">
            <v>3160.36</v>
          </cell>
        </row>
        <row r="202">
          <cell r="C202" t="str">
            <v>MO</v>
          </cell>
          <cell r="F202" t="str">
            <v>Residential</v>
          </cell>
          <cell r="G202" t="str">
            <v>RG-Residential</v>
          </cell>
          <cell r="H202">
            <v>0</v>
          </cell>
          <cell r="I202">
            <v>26735579.190000001</v>
          </cell>
          <cell r="J202">
            <v>3543358.85</v>
          </cell>
        </row>
        <row r="203">
          <cell r="C203" t="str">
            <v>MO</v>
          </cell>
          <cell r="F203" t="str">
            <v>Residential</v>
          </cell>
          <cell r="G203" t="str">
            <v>RG-Residential</v>
          </cell>
          <cell r="H203">
            <v>0</v>
          </cell>
          <cell r="I203">
            <v>15805925</v>
          </cell>
          <cell r="J203">
            <v>2033972.56</v>
          </cell>
        </row>
        <row r="204">
          <cell r="C204" t="str">
            <v>MO</v>
          </cell>
          <cell r="F204" t="str">
            <v>Residential</v>
          </cell>
          <cell r="G204" t="str">
            <v>RG-Residential</v>
          </cell>
          <cell r="H204">
            <v>0</v>
          </cell>
          <cell r="I204">
            <v>19389559</v>
          </cell>
          <cell r="J204">
            <v>2517997.87</v>
          </cell>
        </row>
        <row r="205">
          <cell r="C205" t="str">
            <v>MO</v>
          </cell>
          <cell r="F205" t="str">
            <v>Residential</v>
          </cell>
          <cell r="G205" t="str">
            <v>RG-Residential</v>
          </cell>
          <cell r="H205">
            <v>0</v>
          </cell>
          <cell r="I205">
            <v>18450</v>
          </cell>
          <cell r="J205">
            <v>2326.62</v>
          </cell>
        </row>
        <row r="206">
          <cell r="C206" t="str">
            <v>MO</v>
          </cell>
          <cell r="F206" t="str">
            <v>Residential</v>
          </cell>
          <cell r="G206" t="str">
            <v>RG-Residential</v>
          </cell>
          <cell r="H206">
            <v>0</v>
          </cell>
          <cell r="I206">
            <v>3700320</v>
          </cell>
          <cell r="J206">
            <v>508280.02</v>
          </cell>
        </row>
        <row r="207">
          <cell r="C207" t="str">
            <v>MO</v>
          </cell>
          <cell r="F207" t="str">
            <v>Residential</v>
          </cell>
          <cell r="G207" t="str">
            <v>RG-Residential</v>
          </cell>
          <cell r="H207">
            <v>0</v>
          </cell>
          <cell r="I207">
            <v>21341306</v>
          </cell>
          <cell r="J207">
            <v>2710870.14</v>
          </cell>
        </row>
        <row r="208">
          <cell r="C208" t="str">
            <v>MO</v>
          </cell>
          <cell r="F208" t="str">
            <v>Residential</v>
          </cell>
          <cell r="G208" t="str">
            <v>RG-Residential</v>
          </cell>
          <cell r="H208">
            <v>0</v>
          </cell>
          <cell r="I208">
            <v>2.21</v>
          </cell>
          <cell r="J208">
            <v>0</v>
          </cell>
        </row>
        <row r="209">
          <cell r="C209" t="str">
            <v>MO</v>
          </cell>
          <cell r="F209" t="str">
            <v>Residential</v>
          </cell>
          <cell r="G209" t="str">
            <v>RG-Residential</v>
          </cell>
          <cell r="H209">
            <v>0</v>
          </cell>
          <cell r="I209">
            <v>-221</v>
          </cell>
          <cell r="J209">
            <v>0</v>
          </cell>
        </row>
        <row r="210">
          <cell r="C210" t="str">
            <v>MO</v>
          </cell>
          <cell r="F210" t="str">
            <v>Residential</v>
          </cell>
          <cell r="G210" t="str">
            <v>RG-Residential</v>
          </cell>
          <cell r="H210">
            <v>0</v>
          </cell>
          <cell r="I210">
            <v>31.6</v>
          </cell>
          <cell r="J210">
            <v>0</v>
          </cell>
        </row>
        <row r="211">
          <cell r="C211" t="str">
            <v>MO</v>
          </cell>
          <cell r="F211" t="str">
            <v>Residential</v>
          </cell>
          <cell r="G211" t="str">
            <v>RG-Residential</v>
          </cell>
          <cell r="H211">
            <v>0</v>
          </cell>
          <cell r="I211">
            <v>-3160</v>
          </cell>
          <cell r="J211">
            <v>0</v>
          </cell>
        </row>
        <row r="212">
          <cell r="C212" t="str">
            <v>MO</v>
          </cell>
          <cell r="F212" t="str">
            <v>Residential</v>
          </cell>
          <cell r="G212" t="str">
            <v>RG-Residential Total</v>
          </cell>
          <cell r="H212">
            <v>128514</v>
          </cell>
          <cell r="I212">
            <v>138078362</v>
          </cell>
          <cell r="J212">
            <v>17866417.43</v>
          </cell>
        </row>
        <row r="213">
          <cell r="C213" t="str">
            <v>MO</v>
          </cell>
          <cell r="F213" t="str">
            <v>Residential Total</v>
          </cell>
          <cell r="G213">
            <v>0</v>
          </cell>
          <cell r="H213">
            <v>128645</v>
          </cell>
          <cell r="I213">
            <v>138416010</v>
          </cell>
          <cell r="J213">
            <v>17999502.669999998</v>
          </cell>
        </row>
        <row r="214">
          <cell r="C214" t="str">
            <v>MO</v>
          </cell>
          <cell r="F214" t="str">
            <v>Charging Station</v>
          </cell>
          <cell r="G214" t="str">
            <v>CB-Commercial</v>
          </cell>
          <cell r="H214">
            <v>0</v>
          </cell>
          <cell r="I214">
            <v>1120</v>
          </cell>
          <cell r="J214">
            <v>163.52000000000001</v>
          </cell>
        </row>
        <row r="215">
          <cell r="C215" t="str">
            <v>MO</v>
          </cell>
          <cell r="F215" t="str">
            <v>Charging Station</v>
          </cell>
          <cell r="G215" t="str">
            <v>CB-Commercial</v>
          </cell>
          <cell r="H215">
            <v>0</v>
          </cell>
          <cell r="I215">
            <v>-1120</v>
          </cell>
          <cell r="J215">
            <v>-163.52000000000001</v>
          </cell>
        </row>
        <row r="216">
          <cell r="C216" t="str">
            <v>MO</v>
          </cell>
          <cell r="F216" t="str">
            <v>Charging Station</v>
          </cell>
          <cell r="G216" t="str">
            <v>CB-Commercial Total</v>
          </cell>
          <cell r="H216">
            <v>0</v>
          </cell>
          <cell r="I216">
            <v>0</v>
          </cell>
          <cell r="J216">
            <v>0</v>
          </cell>
        </row>
        <row r="217">
          <cell r="C217" t="str">
            <v>MO</v>
          </cell>
          <cell r="F217" t="str">
            <v>Charging Station Total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C218" t="str">
            <v>MO</v>
          </cell>
          <cell r="F218" t="str">
            <v>Commercial</v>
          </cell>
          <cell r="G218" t="str">
            <v>CB-Commercial</v>
          </cell>
          <cell r="H218">
            <v>0</v>
          </cell>
          <cell r="I218">
            <v>2279130</v>
          </cell>
          <cell r="J218">
            <v>319660.27</v>
          </cell>
        </row>
        <row r="219">
          <cell r="C219" t="str">
            <v>MO</v>
          </cell>
          <cell r="F219" t="str">
            <v>Commercial</v>
          </cell>
          <cell r="G219" t="str">
            <v>CB-Commercial</v>
          </cell>
          <cell r="H219">
            <v>0</v>
          </cell>
          <cell r="I219">
            <v>2329352</v>
          </cell>
          <cell r="J219">
            <v>330985.38</v>
          </cell>
        </row>
        <row r="220">
          <cell r="C220" t="str">
            <v>MO</v>
          </cell>
          <cell r="F220" t="str">
            <v>Commercial</v>
          </cell>
          <cell r="G220" t="str">
            <v>CB-Commercial</v>
          </cell>
          <cell r="H220">
            <v>0</v>
          </cell>
          <cell r="I220">
            <v>3358615</v>
          </cell>
          <cell r="J220">
            <v>471342.79</v>
          </cell>
        </row>
        <row r="221">
          <cell r="C221" t="str">
            <v>MO</v>
          </cell>
          <cell r="F221" t="str">
            <v>Commercial</v>
          </cell>
          <cell r="G221" t="str">
            <v>CB-Commercial</v>
          </cell>
          <cell r="H221">
            <v>0</v>
          </cell>
          <cell r="I221">
            <v>2365</v>
          </cell>
          <cell r="J221">
            <v>399.72</v>
          </cell>
        </row>
        <row r="222">
          <cell r="C222" t="str">
            <v>MO</v>
          </cell>
          <cell r="F222" t="str">
            <v>Commercial</v>
          </cell>
          <cell r="G222" t="str">
            <v>CB-Commercial</v>
          </cell>
          <cell r="H222">
            <v>0</v>
          </cell>
          <cell r="I222">
            <v>16740</v>
          </cell>
          <cell r="J222">
            <v>2225.4299999999998</v>
          </cell>
        </row>
        <row r="223">
          <cell r="C223" t="str">
            <v>MO</v>
          </cell>
          <cell r="F223" t="str">
            <v>Commercial</v>
          </cell>
          <cell r="G223" t="str">
            <v>CB-Commercial</v>
          </cell>
          <cell r="H223">
            <v>0</v>
          </cell>
          <cell r="I223">
            <v>5816073.1600000001</v>
          </cell>
          <cell r="J223">
            <v>792068.06</v>
          </cell>
        </row>
        <row r="224">
          <cell r="C224" t="str">
            <v>MO</v>
          </cell>
          <cell r="F224" t="str">
            <v>Commercial</v>
          </cell>
          <cell r="G224" t="str">
            <v>CB-Commercial</v>
          </cell>
          <cell r="H224">
            <v>0</v>
          </cell>
          <cell r="I224">
            <v>2840945</v>
          </cell>
          <cell r="J224">
            <v>399864.56</v>
          </cell>
        </row>
        <row r="225">
          <cell r="C225" t="str">
            <v>MO</v>
          </cell>
          <cell r="F225" t="str">
            <v>Commercial</v>
          </cell>
          <cell r="G225" t="str">
            <v>CB-Commercial</v>
          </cell>
          <cell r="H225">
            <v>0</v>
          </cell>
          <cell r="I225">
            <v>3200088</v>
          </cell>
          <cell r="J225">
            <v>444095.36</v>
          </cell>
        </row>
        <row r="226">
          <cell r="C226" t="str">
            <v>MO</v>
          </cell>
          <cell r="F226" t="str">
            <v>Commercial</v>
          </cell>
          <cell r="G226" t="str">
            <v>CB-Commercial</v>
          </cell>
          <cell r="H226">
            <v>0</v>
          </cell>
          <cell r="I226">
            <v>12760</v>
          </cell>
          <cell r="J226">
            <v>1601.17</v>
          </cell>
        </row>
        <row r="227">
          <cell r="C227" t="str">
            <v>MO</v>
          </cell>
          <cell r="F227" t="str">
            <v>Commercial</v>
          </cell>
          <cell r="G227" t="str">
            <v>CB-Commercial</v>
          </cell>
          <cell r="H227">
            <v>0</v>
          </cell>
          <cell r="I227">
            <v>498422</v>
          </cell>
          <cell r="J227">
            <v>70995.98</v>
          </cell>
        </row>
        <row r="228">
          <cell r="C228" t="str">
            <v>MO</v>
          </cell>
          <cell r="F228" t="str">
            <v>Commercial</v>
          </cell>
          <cell r="G228" t="str">
            <v>CB-Commercial</v>
          </cell>
          <cell r="H228">
            <v>0</v>
          </cell>
          <cell r="I228">
            <v>2309362</v>
          </cell>
          <cell r="J228">
            <v>317911.33</v>
          </cell>
        </row>
        <row r="229">
          <cell r="C229" t="str">
            <v>MO</v>
          </cell>
          <cell r="F229" t="str">
            <v>Commercial</v>
          </cell>
          <cell r="G229" t="str">
            <v>CB-Commercial</v>
          </cell>
          <cell r="H229">
            <v>0</v>
          </cell>
          <cell r="I229">
            <v>1120</v>
          </cell>
          <cell r="J229">
            <v>163.52000000000001</v>
          </cell>
        </row>
        <row r="230">
          <cell r="C230" t="str">
            <v>MO</v>
          </cell>
          <cell r="F230" t="str">
            <v>Commercial</v>
          </cell>
          <cell r="G230" t="str">
            <v>CB-Commercial</v>
          </cell>
          <cell r="H230">
            <v>0</v>
          </cell>
          <cell r="I230">
            <v>29.84</v>
          </cell>
          <cell r="J230">
            <v>0</v>
          </cell>
        </row>
        <row r="231">
          <cell r="C231" t="str">
            <v>MO</v>
          </cell>
          <cell r="F231" t="str">
            <v>Commercial</v>
          </cell>
          <cell r="G231" t="str">
            <v>CB-Commercial</v>
          </cell>
          <cell r="H231">
            <v>0</v>
          </cell>
          <cell r="I231">
            <v>-2984</v>
          </cell>
          <cell r="J231">
            <v>0</v>
          </cell>
        </row>
        <row r="232">
          <cell r="C232" t="str">
            <v>MO</v>
          </cell>
          <cell r="F232" t="str">
            <v>Commercial</v>
          </cell>
          <cell r="G232" t="str">
            <v>CB-Commercial Total</v>
          </cell>
          <cell r="H232">
            <v>16339</v>
          </cell>
          <cell r="I232">
            <v>22662018</v>
          </cell>
          <cell r="J232">
            <v>3151313.57</v>
          </cell>
        </row>
        <row r="233">
          <cell r="C233" t="str">
            <v>MO</v>
          </cell>
          <cell r="F233" t="str">
            <v>Commercial</v>
          </cell>
          <cell r="G233" t="str">
            <v>GP-General Power</v>
          </cell>
          <cell r="H233">
            <v>0</v>
          </cell>
          <cell r="I233">
            <v>4282849</v>
          </cell>
          <cell r="J233">
            <v>434983.53</v>
          </cell>
        </row>
        <row r="234">
          <cell r="C234" t="str">
            <v>MO</v>
          </cell>
          <cell r="F234" t="str">
            <v>Commercial</v>
          </cell>
          <cell r="G234" t="str">
            <v>GP-General Power</v>
          </cell>
          <cell r="H234">
            <v>0</v>
          </cell>
          <cell r="I234">
            <v>3264099</v>
          </cell>
          <cell r="J234">
            <v>324817.06</v>
          </cell>
        </row>
        <row r="235">
          <cell r="C235" t="str">
            <v>MO</v>
          </cell>
          <cell r="F235" t="str">
            <v>Commercial</v>
          </cell>
          <cell r="G235" t="str">
            <v>GP-General Power</v>
          </cell>
          <cell r="H235">
            <v>0</v>
          </cell>
          <cell r="I235">
            <v>5433742</v>
          </cell>
          <cell r="J235">
            <v>543961.11</v>
          </cell>
        </row>
        <row r="236">
          <cell r="C236" t="str">
            <v>MO</v>
          </cell>
          <cell r="F236" t="str">
            <v>Commercial</v>
          </cell>
          <cell r="G236" t="str">
            <v>GP-General Power</v>
          </cell>
          <cell r="H236">
            <v>0</v>
          </cell>
          <cell r="I236">
            <v>16266636</v>
          </cell>
          <cell r="J236">
            <v>1561699.02</v>
          </cell>
        </row>
        <row r="237">
          <cell r="C237" t="str">
            <v>MO</v>
          </cell>
          <cell r="F237" t="str">
            <v>Commercial</v>
          </cell>
          <cell r="G237" t="str">
            <v>GP-General Power</v>
          </cell>
          <cell r="H237">
            <v>0</v>
          </cell>
          <cell r="I237">
            <v>6330417</v>
          </cell>
          <cell r="J237">
            <v>647607.75</v>
          </cell>
        </row>
        <row r="238">
          <cell r="C238" t="str">
            <v>MO</v>
          </cell>
          <cell r="F238" t="str">
            <v>Commercial</v>
          </cell>
          <cell r="G238" t="str">
            <v>GP-General Power</v>
          </cell>
          <cell r="H238">
            <v>0</v>
          </cell>
          <cell r="I238">
            <v>5590639</v>
          </cell>
          <cell r="J238">
            <v>541643.21</v>
          </cell>
        </row>
        <row r="239">
          <cell r="C239" t="str">
            <v>MO</v>
          </cell>
          <cell r="F239" t="str">
            <v>Commercial</v>
          </cell>
          <cell r="G239" t="str">
            <v>GP-General Power</v>
          </cell>
          <cell r="H239">
            <v>0</v>
          </cell>
          <cell r="I239">
            <v>287545</v>
          </cell>
          <cell r="J239">
            <v>27748.080000000002</v>
          </cell>
        </row>
        <row r="240">
          <cell r="C240" t="str">
            <v>MO</v>
          </cell>
          <cell r="F240" t="str">
            <v>Commercial</v>
          </cell>
          <cell r="G240" t="str">
            <v>GP-General Power</v>
          </cell>
          <cell r="H240">
            <v>0</v>
          </cell>
          <cell r="I240">
            <v>3835006</v>
          </cell>
          <cell r="J240">
            <v>389748.65</v>
          </cell>
        </row>
        <row r="241">
          <cell r="C241" t="str">
            <v>MO</v>
          </cell>
          <cell r="F241" t="str">
            <v>Commercial</v>
          </cell>
          <cell r="G241" t="str">
            <v>GP-General Power Total</v>
          </cell>
          <cell r="H241">
            <v>1422</v>
          </cell>
          <cell r="I241">
            <v>45290933</v>
          </cell>
          <cell r="J241">
            <v>4472208.41</v>
          </cell>
        </row>
        <row r="242">
          <cell r="C242" t="str">
            <v>MO</v>
          </cell>
          <cell r="F242" t="str">
            <v>Commercial</v>
          </cell>
          <cell r="G242" t="str">
            <v>LP-Large Power</v>
          </cell>
          <cell r="H242">
            <v>0</v>
          </cell>
          <cell r="I242">
            <v>994800</v>
          </cell>
          <cell r="J242">
            <v>88450.5</v>
          </cell>
        </row>
        <row r="243">
          <cell r="C243" t="str">
            <v>MO</v>
          </cell>
          <cell r="F243" t="str">
            <v>Commercial</v>
          </cell>
          <cell r="G243" t="str">
            <v>LP-Large Power</v>
          </cell>
          <cell r="H243">
            <v>0</v>
          </cell>
          <cell r="I243">
            <v>2800437</v>
          </cell>
          <cell r="J243">
            <v>210275.47</v>
          </cell>
        </row>
        <row r="244">
          <cell r="C244" t="str">
            <v>MO</v>
          </cell>
          <cell r="F244" t="str">
            <v>Commercial</v>
          </cell>
          <cell r="G244" t="str">
            <v>LP-Large Power</v>
          </cell>
          <cell r="H244">
            <v>0</v>
          </cell>
          <cell r="I244">
            <v>5655210</v>
          </cell>
          <cell r="J244">
            <v>426418.69</v>
          </cell>
        </row>
        <row r="245">
          <cell r="C245" t="str">
            <v>MO</v>
          </cell>
          <cell r="F245" t="str">
            <v>Commercial</v>
          </cell>
          <cell r="G245" t="str">
            <v>LP-Large Power Total</v>
          </cell>
          <cell r="H245">
            <v>8</v>
          </cell>
          <cell r="I245">
            <v>9450447</v>
          </cell>
          <cell r="J245">
            <v>725144.65999999992</v>
          </cell>
        </row>
        <row r="246">
          <cell r="C246" t="str">
            <v>MO</v>
          </cell>
          <cell r="F246" t="str">
            <v>Commercial</v>
          </cell>
          <cell r="G246" t="str">
            <v>LS-Special Lighting</v>
          </cell>
          <cell r="H246">
            <v>0</v>
          </cell>
          <cell r="I246">
            <v>1297</v>
          </cell>
          <cell r="J246">
            <v>349.5</v>
          </cell>
        </row>
        <row r="247">
          <cell r="C247" t="str">
            <v>MO</v>
          </cell>
          <cell r="F247" t="str">
            <v>Commercial</v>
          </cell>
          <cell r="G247" t="str">
            <v>LS-Special Lighting</v>
          </cell>
          <cell r="H247">
            <v>0</v>
          </cell>
          <cell r="I247">
            <v>2252</v>
          </cell>
          <cell r="J247">
            <v>570.67999999999995</v>
          </cell>
        </row>
        <row r="248">
          <cell r="C248" t="str">
            <v>MO</v>
          </cell>
          <cell r="F248" t="str">
            <v>Commercial</v>
          </cell>
          <cell r="G248" t="str">
            <v>LS-Special Lighting</v>
          </cell>
          <cell r="H248">
            <v>0</v>
          </cell>
          <cell r="I248">
            <v>3108</v>
          </cell>
          <cell r="J248">
            <v>556.96</v>
          </cell>
        </row>
        <row r="249">
          <cell r="C249" t="str">
            <v>MO</v>
          </cell>
          <cell r="F249" t="str">
            <v>Commercial</v>
          </cell>
          <cell r="G249" t="str">
            <v>LS-Special Lighting</v>
          </cell>
          <cell r="H249">
            <v>0</v>
          </cell>
          <cell r="I249">
            <v>402</v>
          </cell>
          <cell r="J249">
            <v>97.99</v>
          </cell>
        </row>
        <row r="250">
          <cell r="C250" t="str">
            <v>MO</v>
          </cell>
          <cell r="F250" t="str">
            <v>Commercial</v>
          </cell>
          <cell r="G250" t="str">
            <v>LS-Special Lighting</v>
          </cell>
          <cell r="H250">
            <v>0</v>
          </cell>
          <cell r="I250">
            <v>351</v>
          </cell>
          <cell r="J250">
            <v>149.19</v>
          </cell>
        </row>
        <row r="251">
          <cell r="C251" t="str">
            <v>MO</v>
          </cell>
          <cell r="F251" t="str">
            <v>Commercial</v>
          </cell>
          <cell r="G251" t="str">
            <v>LS-Special Lighting</v>
          </cell>
          <cell r="H251">
            <v>0</v>
          </cell>
          <cell r="I251">
            <v>1120</v>
          </cell>
          <cell r="J251">
            <v>191.03</v>
          </cell>
        </row>
        <row r="252">
          <cell r="C252" t="str">
            <v>MO</v>
          </cell>
          <cell r="F252" t="str">
            <v>Commercial</v>
          </cell>
          <cell r="G252" t="str">
            <v>LS-Special Lighting</v>
          </cell>
          <cell r="H252">
            <v>0</v>
          </cell>
          <cell r="I252">
            <v>717</v>
          </cell>
          <cell r="J252">
            <v>164.69</v>
          </cell>
        </row>
        <row r="253">
          <cell r="C253" t="str">
            <v>MO</v>
          </cell>
          <cell r="F253" t="str">
            <v>Commercial</v>
          </cell>
          <cell r="G253" t="str">
            <v>LS-Special Lighting Total</v>
          </cell>
          <cell r="H253">
            <v>50</v>
          </cell>
          <cell r="I253">
            <v>9247</v>
          </cell>
          <cell r="J253">
            <v>2080.04</v>
          </cell>
        </row>
        <row r="254">
          <cell r="C254" t="str">
            <v>MO</v>
          </cell>
          <cell r="F254" t="str">
            <v>Commercial</v>
          </cell>
          <cell r="G254" t="str">
            <v>NM-Net Metering</v>
          </cell>
          <cell r="H254">
            <v>0</v>
          </cell>
          <cell r="I254">
            <v>-951</v>
          </cell>
          <cell r="J254">
            <v>-33.76</v>
          </cell>
        </row>
        <row r="255">
          <cell r="C255" t="str">
            <v>MO</v>
          </cell>
          <cell r="F255" t="str">
            <v>Commercial</v>
          </cell>
          <cell r="G255" t="str">
            <v>NM-Net Metering</v>
          </cell>
          <cell r="H255">
            <v>0</v>
          </cell>
          <cell r="I255">
            <v>-323</v>
          </cell>
          <cell r="J255">
            <v>-11.47</v>
          </cell>
        </row>
        <row r="256">
          <cell r="C256" t="str">
            <v>MO</v>
          </cell>
          <cell r="F256" t="str">
            <v>Commercial</v>
          </cell>
          <cell r="G256" t="str">
            <v>NM-Net Metering</v>
          </cell>
          <cell r="H256">
            <v>0</v>
          </cell>
          <cell r="I256">
            <v>-3754</v>
          </cell>
          <cell r="J256">
            <v>-133.26</v>
          </cell>
        </row>
        <row r="257">
          <cell r="C257" t="str">
            <v>MO</v>
          </cell>
          <cell r="F257" t="str">
            <v>Commercial</v>
          </cell>
          <cell r="G257" t="str">
            <v>NM-Net Metering</v>
          </cell>
          <cell r="H257">
            <v>0</v>
          </cell>
          <cell r="I257">
            <v>-3284</v>
          </cell>
          <cell r="J257">
            <v>-116.58</v>
          </cell>
        </row>
        <row r="258">
          <cell r="C258" t="str">
            <v>MO</v>
          </cell>
          <cell r="F258" t="str">
            <v>Commercial</v>
          </cell>
          <cell r="G258" t="str">
            <v>NM-Net Metering</v>
          </cell>
          <cell r="H258">
            <v>0</v>
          </cell>
          <cell r="I258">
            <v>-905</v>
          </cell>
          <cell r="J258">
            <v>-32.130000000000003</v>
          </cell>
        </row>
        <row r="259">
          <cell r="C259" t="str">
            <v>MO</v>
          </cell>
          <cell r="F259" t="str">
            <v>Commercial</v>
          </cell>
          <cell r="G259" t="str">
            <v>NM-Net Metering</v>
          </cell>
          <cell r="H259">
            <v>0</v>
          </cell>
          <cell r="I259">
            <v>-180</v>
          </cell>
          <cell r="J259">
            <v>-6.39</v>
          </cell>
        </row>
        <row r="260">
          <cell r="C260" t="str">
            <v>MO</v>
          </cell>
          <cell r="F260" t="str">
            <v>Commercial</v>
          </cell>
          <cell r="G260" t="str">
            <v>NM-Net Metering</v>
          </cell>
          <cell r="H260">
            <v>0</v>
          </cell>
          <cell r="I260">
            <v>0</v>
          </cell>
          <cell r="J260">
            <v>0</v>
          </cell>
        </row>
        <row r="261">
          <cell r="C261" t="str">
            <v>MO</v>
          </cell>
          <cell r="F261" t="str">
            <v>Commercial</v>
          </cell>
          <cell r="G261" t="str">
            <v>NM-Net Metering</v>
          </cell>
          <cell r="H261">
            <v>0</v>
          </cell>
          <cell r="I261">
            <v>0</v>
          </cell>
          <cell r="J261">
            <v>0</v>
          </cell>
        </row>
        <row r="262">
          <cell r="C262" t="str">
            <v>MO</v>
          </cell>
          <cell r="F262" t="str">
            <v>Commercial</v>
          </cell>
          <cell r="G262" t="str">
            <v>NM-Net Metering Total</v>
          </cell>
          <cell r="H262">
            <v>0</v>
          </cell>
          <cell r="I262">
            <v>-9397</v>
          </cell>
          <cell r="J262">
            <v>-333.59</v>
          </cell>
        </row>
        <row r="263">
          <cell r="C263" t="str">
            <v>MO</v>
          </cell>
          <cell r="F263" t="str">
            <v>Commercial</v>
          </cell>
          <cell r="G263" t="str">
            <v>PL-Private Lighting</v>
          </cell>
          <cell r="H263">
            <v>0</v>
          </cell>
          <cell r="I263">
            <v>53411</v>
          </cell>
          <cell r="J263">
            <v>17548.7</v>
          </cell>
        </row>
        <row r="264">
          <cell r="C264" t="str">
            <v>MO</v>
          </cell>
          <cell r="F264" t="str">
            <v>Commercial</v>
          </cell>
          <cell r="G264" t="str">
            <v>PL-Private Lighting</v>
          </cell>
          <cell r="H264">
            <v>0</v>
          </cell>
          <cell r="I264">
            <v>59756</v>
          </cell>
          <cell r="J264">
            <v>17648.91</v>
          </cell>
        </row>
        <row r="265">
          <cell r="C265" t="str">
            <v>MO</v>
          </cell>
          <cell r="F265" t="str">
            <v>Commercial</v>
          </cell>
          <cell r="G265" t="str">
            <v>PL-Private Lighting</v>
          </cell>
          <cell r="H265">
            <v>0</v>
          </cell>
          <cell r="I265">
            <v>87422</v>
          </cell>
          <cell r="J265">
            <v>31428.82</v>
          </cell>
        </row>
        <row r="266">
          <cell r="C266" t="str">
            <v>MO</v>
          </cell>
          <cell r="F266" t="str">
            <v>Commercial</v>
          </cell>
          <cell r="G266" t="str">
            <v>PL-Private Lighting</v>
          </cell>
          <cell r="H266">
            <v>0</v>
          </cell>
          <cell r="I266">
            <v>235</v>
          </cell>
          <cell r="J266">
            <v>107.6</v>
          </cell>
        </row>
        <row r="267">
          <cell r="C267" t="str">
            <v>MO</v>
          </cell>
          <cell r="F267" t="str">
            <v>Commercial</v>
          </cell>
          <cell r="G267" t="str">
            <v>PL-Private Lighting</v>
          </cell>
          <cell r="H267">
            <v>0</v>
          </cell>
          <cell r="I267">
            <v>214135</v>
          </cell>
          <cell r="J267">
            <v>58256.23</v>
          </cell>
        </row>
        <row r="268">
          <cell r="C268" t="str">
            <v>MO</v>
          </cell>
          <cell r="F268" t="str">
            <v>Commercial</v>
          </cell>
          <cell r="G268" t="str">
            <v>PL-Private Lighting</v>
          </cell>
          <cell r="H268">
            <v>0</v>
          </cell>
          <cell r="I268">
            <v>141894</v>
          </cell>
          <cell r="J268">
            <v>43553.18</v>
          </cell>
        </row>
        <row r="269">
          <cell r="C269" t="str">
            <v>MO</v>
          </cell>
          <cell r="F269" t="str">
            <v>Commercial</v>
          </cell>
          <cell r="G269" t="str">
            <v>PL-Private Lighting</v>
          </cell>
          <cell r="H269">
            <v>0</v>
          </cell>
          <cell r="I269">
            <v>51656</v>
          </cell>
          <cell r="J269">
            <v>16919.759999999998</v>
          </cell>
        </row>
        <row r="270">
          <cell r="C270" t="str">
            <v>MO</v>
          </cell>
          <cell r="F270" t="str">
            <v>Commercial</v>
          </cell>
          <cell r="G270" t="str">
            <v>PL-Private Lighting</v>
          </cell>
          <cell r="H270">
            <v>0</v>
          </cell>
          <cell r="I270">
            <v>13358</v>
          </cell>
          <cell r="J270">
            <v>4634.83</v>
          </cell>
        </row>
        <row r="271">
          <cell r="C271" t="str">
            <v>MO</v>
          </cell>
          <cell r="F271" t="str">
            <v>Commercial</v>
          </cell>
          <cell r="G271" t="str">
            <v>PL-Private Lighting</v>
          </cell>
          <cell r="H271">
            <v>0</v>
          </cell>
          <cell r="I271">
            <v>70912</v>
          </cell>
          <cell r="J271">
            <v>21302.98</v>
          </cell>
        </row>
        <row r="272">
          <cell r="C272" t="str">
            <v>MO</v>
          </cell>
          <cell r="F272" t="str">
            <v>Commercial</v>
          </cell>
          <cell r="G272" t="str">
            <v>PL-Private Lighting Total</v>
          </cell>
          <cell r="H272">
            <v>131</v>
          </cell>
          <cell r="I272">
            <v>692779</v>
          </cell>
          <cell r="J272">
            <v>211401.01</v>
          </cell>
        </row>
        <row r="273">
          <cell r="C273" t="str">
            <v>MO</v>
          </cell>
          <cell r="F273" t="str">
            <v>Commercial</v>
          </cell>
          <cell r="G273" t="str">
            <v>SH-Small Heating</v>
          </cell>
          <cell r="H273">
            <v>0</v>
          </cell>
          <cell r="I273">
            <v>145916</v>
          </cell>
          <cell r="J273">
            <v>17285.349999999999</v>
          </cell>
        </row>
        <row r="274">
          <cell r="C274" t="str">
            <v>MO</v>
          </cell>
          <cell r="F274" t="str">
            <v>Commercial</v>
          </cell>
          <cell r="G274" t="str">
            <v>SH-Small Heating</v>
          </cell>
          <cell r="H274">
            <v>0</v>
          </cell>
          <cell r="I274">
            <v>1130041</v>
          </cell>
          <cell r="J274">
            <v>128981.55</v>
          </cell>
        </row>
        <row r="275">
          <cell r="C275" t="str">
            <v>MO</v>
          </cell>
          <cell r="F275" t="str">
            <v>Commercial</v>
          </cell>
          <cell r="G275" t="str">
            <v>SH-Small Heating</v>
          </cell>
          <cell r="H275">
            <v>0</v>
          </cell>
          <cell r="I275">
            <v>3205421</v>
          </cell>
          <cell r="J275">
            <v>363013.46</v>
          </cell>
        </row>
        <row r="276">
          <cell r="C276" t="str">
            <v>MO</v>
          </cell>
          <cell r="F276" t="str">
            <v>Commercial</v>
          </cell>
          <cell r="G276" t="str">
            <v>SH-Small Heating</v>
          </cell>
          <cell r="H276">
            <v>0</v>
          </cell>
          <cell r="I276">
            <v>1054276</v>
          </cell>
          <cell r="J276">
            <v>120372.63</v>
          </cell>
        </row>
        <row r="277">
          <cell r="C277" t="str">
            <v>MO</v>
          </cell>
          <cell r="F277" t="str">
            <v>Commercial</v>
          </cell>
          <cell r="G277" t="str">
            <v>SH-Small Heating</v>
          </cell>
          <cell r="H277">
            <v>0</v>
          </cell>
          <cell r="I277">
            <v>460357</v>
          </cell>
          <cell r="J277">
            <v>51867.24</v>
          </cell>
        </row>
        <row r="278">
          <cell r="C278" t="str">
            <v>MO</v>
          </cell>
          <cell r="F278" t="str">
            <v>Commercial</v>
          </cell>
          <cell r="G278" t="str">
            <v>SH-Small Heating</v>
          </cell>
          <cell r="H278">
            <v>0</v>
          </cell>
          <cell r="I278">
            <v>584745</v>
          </cell>
          <cell r="J278">
            <v>66616.84</v>
          </cell>
        </row>
        <row r="279">
          <cell r="C279" t="str">
            <v>MO</v>
          </cell>
          <cell r="F279" t="str">
            <v>Commercial</v>
          </cell>
          <cell r="G279" t="str">
            <v>SH-Small Heating</v>
          </cell>
          <cell r="H279">
            <v>0</v>
          </cell>
          <cell r="I279">
            <v>63667</v>
          </cell>
          <cell r="J279">
            <v>7157.4</v>
          </cell>
        </row>
        <row r="280">
          <cell r="C280" t="str">
            <v>MO</v>
          </cell>
          <cell r="F280" t="str">
            <v>Commercial</v>
          </cell>
          <cell r="G280" t="str">
            <v>SH-Small Heating</v>
          </cell>
          <cell r="H280">
            <v>0</v>
          </cell>
          <cell r="I280">
            <v>285162</v>
          </cell>
          <cell r="J280">
            <v>32646.43</v>
          </cell>
        </row>
        <row r="281">
          <cell r="C281" t="str">
            <v>MO</v>
          </cell>
          <cell r="F281" t="str">
            <v>Commercial</v>
          </cell>
          <cell r="G281" t="str">
            <v>SH-Small Heating Total</v>
          </cell>
          <cell r="H281">
            <v>2981</v>
          </cell>
          <cell r="I281">
            <v>6929585</v>
          </cell>
          <cell r="J281">
            <v>787940.9</v>
          </cell>
        </row>
        <row r="282">
          <cell r="C282" t="str">
            <v>MO</v>
          </cell>
          <cell r="F282" t="str">
            <v>Commercial</v>
          </cell>
          <cell r="G282" t="str">
            <v>TEB-Total Electric Bldg</v>
          </cell>
          <cell r="H282">
            <v>0</v>
          </cell>
          <cell r="I282">
            <v>761713</v>
          </cell>
          <cell r="J282">
            <v>69319.570000000007</v>
          </cell>
        </row>
        <row r="283">
          <cell r="C283" t="str">
            <v>MO</v>
          </cell>
          <cell r="F283" t="str">
            <v>Commercial</v>
          </cell>
          <cell r="G283" t="str">
            <v>TEB-Total Electric Bldg</v>
          </cell>
          <cell r="H283">
            <v>0</v>
          </cell>
          <cell r="I283">
            <v>3788090</v>
          </cell>
          <cell r="J283">
            <v>363334.31</v>
          </cell>
        </row>
        <row r="284">
          <cell r="C284" t="str">
            <v>MO</v>
          </cell>
          <cell r="F284" t="str">
            <v>Commercial</v>
          </cell>
          <cell r="G284" t="str">
            <v>TEB-Total Electric Bldg</v>
          </cell>
          <cell r="H284">
            <v>0</v>
          </cell>
          <cell r="I284">
            <v>16939235</v>
          </cell>
          <cell r="J284">
            <v>1679835.71</v>
          </cell>
        </row>
        <row r="285">
          <cell r="C285" t="str">
            <v>MO</v>
          </cell>
          <cell r="F285" t="str">
            <v>Commercial</v>
          </cell>
          <cell r="G285" t="str">
            <v>TEB-Total Electric Bldg</v>
          </cell>
          <cell r="H285">
            <v>0</v>
          </cell>
          <cell r="I285">
            <v>3307418</v>
          </cell>
          <cell r="J285">
            <v>319875.46000000002</v>
          </cell>
        </row>
        <row r="286">
          <cell r="C286" t="str">
            <v>MO</v>
          </cell>
          <cell r="F286" t="str">
            <v>Commercial</v>
          </cell>
          <cell r="G286" t="str">
            <v>TEB-Total Electric Bldg</v>
          </cell>
          <cell r="H286">
            <v>0</v>
          </cell>
          <cell r="I286">
            <v>1179794</v>
          </cell>
          <cell r="J286">
            <v>116983.08</v>
          </cell>
        </row>
        <row r="287">
          <cell r="C287" t="str">
            <v>MO</v>
          </cell>
          <cell r="F287" t="str">
            <v>Commercial</v>
          </cell>
          <cell r="G287" t="str">
            <v>TEB-Total Electric Bldg</v>
          </cell>
          <cell r="H287">
            <v>0</v>
          </cell>
          <cell r="I287">
            <v>1180775</v>
          </cell>
          <cell r="J287">
            <v>117109.52</v>
          </cell>
        </row>
        <row r="288">
          <cell r="C288" t="str">
            <v>MO</v>
          </cell>
          <cell r="F288" t="str">
            <v>Commercial</v>
          </cell>
          <cell r="G288" t="str">
            <v>TEB-Total Electric Bldg</v>
          </cell>
          <cell r="H288">
            <v>0</v>
          </cell>
          <cell r="I288">
            <v>37040</v>
          </cell>
          <cell r="J288">
            <v>4048.35</v>
          </cell>
        </row>
        <row r="289">
          <cell r="C289" t="str">
            <v>MO</v>
          </cell>
          <cell r="F289" t="str">
            <v>Commercial</v>
          </cell>
          <cell r="G289" t="str">
            <v>TEB-Total Electric Bldg</v>
          </cell>
          <cell r="H289">
            <v>0</v>
          </cell>
          <cell r="I289">
            <v>1010011</v>
          </cell>
          <cell r="J289">
            <v>101831.58</v>
          </cell>
        </row>
        <row r="290">
          <cell r="C290" t="str">
            <v>MO</v>
          </cell>
          <cell r="F290" t="str">
            <v>Commercial</v>
          </cell>
          <cell r="G290" t="str">
            <v>TEB-Total Electric Bldg Total</v>
          </cell>
          <cell r="H290">
            <v>909</v>
          </cell>
          <cell r="I290">
            <v>28204076</v>
          </cell>
          <cell r="J290">
            <v>2772337.58</v>
          </cell>
        </row>
        <row r="291">
          <cell r="C291" t="str">
            <v>MO</v>
          </cell>
          <cell r="F291" t="str">
            <v>Commercial Total</v>
          </cell>
          <cell r="G291">
            <v>0</v>
          </cell>
          <cell r="H291">
            <v>21840</v>
          </cell>
          <cell r="I291">
            <v>113229688</v>
          </cell>
          <cell r="J291">
            <v>12122092.580000004</v>
          </cell>
        </row>
        <row r="292">
          <cell r="C292" t="str">
            <v>MO</v>
          </cell>
          <cell r="F292" t="str">
            <v>Industrial</v>
          </cell>
          <cell r="G292" t="str">
            <v>CB-Commercial</v>
          </cell>
          <cell r="H292">
            <v>0</v>
          </cell>
          <cell r="I292">
            <v>16903</v>
          </cell>
          <cell r="J292">
            <v>2274.02</v>
          </cell>
        </row>
        <row r="293">
          <cell r="C293" t="str">
            <v>MO</v>
          </cell>
          <cell r="F293" t="str">
            <v>Industrial</v>
          </cell>
          <cell r="G293" t="str">
            <v>CB-Commercial</v>
          </cell>
          <cell r="H293">
            <v>0</v>
          </cell>
          <cell r="I293">
            <v>23629</v>
          </cell>
          <cell r="J293">
            <v>3046.01</v>
          </cell>
        </row>
        <row r="294">
          <cell r="C294" t="str">
            <v>MO</v>
          </cell>
          <cell r="F294" t="str">
            <v>Industrial</v>
          </cell>
          <cell r="G294" t="str">
            <v>CB-Commercial</v>
          </cell>
          <cell r="H294">
            <v>0</v>
          </cell>
          <cell r="I294">
            <v>8031</v>
          </cell>
          <cell r="J294">
            <v>1008.29</v>
          </cell>
        </row>
        <row r="295">
          <cell r="C295" t="str">
            <v>MO</v>
          </cell>
          <cell r="F295" t="str">
            <v>Industrial</v>
          </cell>
          <cell r="G295" t="str">
            <v>CB-Commercial</v>
          </cell>
          <cell r="H295">
            <v>0</v>
          </cell>
          <cell r="I295">
            <v>30407</v>
          </cell>
          <cell r="J295">
            <v>4168.3599999999997</v>
          </cell>
        </row>
        <row r="296">
          <cell r="C296" t="str">
            <v>MO</v>
          </cell>
          <cell r="F296" t="str">
            <v>Industrial</v>
          </cell>
          <cell r="G296" t="str">
            <v>CB-Commercial</v>
          </cell>
          <cell r="H296">
            <v>0</v>
          </cell>
          <cell r="I296">
            <v>49811</v>
          </cell>
          <cell r="J296">
            <v>6304.12</v>
          </cell>
        </row>
        <row r="297">
          <cell r="C297" t="str">
            <v>MO</v>
          </cell>
          <cell r="F297" t="str">
            <v>Industrial</v>
          </cell>
          <cell r="G297" t="str">
            <v>CB-Commercial</v>
          </cell>
          <cell r="H297">
            <v>0</v>
          </cell>
          <cell r="I297">
            <v>4525</v>
          </cell>
          <cell r="J297">
            <v>654.69000000000005</v>
          </cell>
        </row>
        <row r="298">
          <cell r="C298" t="str">
            <v>MO</v>
          </cell>
          <cell r="F298" t="str">
            <v>Industrial</v>
          </cell>
          <cell r="G298" t="str">
            <v>CB-Commercial</v>
          </cell>
          <cell r="H298">
            <v>0</v>
          </cell>
          <cell r="I298">
            <v>598</v>
          </cell>
          <cell r="J298">
            <v>101.43</v>
          </cell>
        </row>
        <row r="299">
          <cell r="C299" t="str">
            <v>MO</v>
          </cell>
          <cell r="F299" t="str">
            <v>Industrial</v>
          </cell>
          <cell r="G299" t="str">
            <v>CB-Commercial</v>
          </cell>
          <cell r="H299">
            <v>0</v>
          </cell>
          <cell r="I299">
            <v>13625</v>
          </cell>
          <cell r="J299">
            <v>1832.84</v>
          </cell>
        </row>
        <row r="300">
          <cell r="C300" t="str">
            <v>MO</v>
          </cell>
          <cell r="F300" t="str">
            <v>Industrial</v>
          </cell>
          <cell r="G300" t="str">
            <v>CB-Commercial Total</v>
          </cell>
          <cell r="H300">
            <v>68</v>
          </cell>
          <cell r="I300">
            <v>147529</v>
          </cell>
          <cell r="J300">
            <v>19389.759999999998</v>
          </cell>
        </row>
        <row r="301">
          <cell r="C301" t="str">
            <v>MO</v>
          </cell>
          <cell r="F301" t="str">
            <v>Industrial</v>
          </cell>
          <cell r="G301" t="str">
            <v>GP-General Power</v>
          </cell>
          <cell r="H301">
            <v>0</v>
          </cell>
          <cell r="I301">
            <v>2561783</v>
          </cell>
          <cell r="J301">
            <v>234233.19</v>
          </cell>
        </row>
        <row r="302">
          <cell r="C302" t="str">
            <v>MO</v>
          </cell>
          <cell r="F302" t="str">
            <v>Industrial</v>
          </cell>
          <cell r="G302" t="str">
            <v>GP-General Power</v>
          </cell>
          <cell r="H302">
            <v>0</v>
          </cell>
          <cell r="I302">
            <v>666800</v>
          </cell>
          <cell r="J302">
            <v>72435.59</v>
          </cell>
        </row>
        <row r="303">
          <cell r="C303" t="str">
            <v>MO</v>
          </cell>
          <cell r="F303" t="str">
            <v>Industrial</v>
          </cell>
          <cell r="G303" t="str">
            <v>GP-General Power</v>
          </cell>
          <cell r="H303">
            <v>0</v>
          </cell>
          <cell r="I303">
            <v>124107</v>
          </cell>
          <cell r="J303">
            <v>10546.4</v>
          </cell>
        </row>
        <row r="304">
          <cell r="C304" t="str">
            <v>MO</v>
          </cell>
          <cell r="F304" t="str">
            <v>Industrial</v>
          </cell>
          <cell r="G304" t="str">
            <v>GP-General Power</v>
          </cell>
          <cell r="H304">
            <v>0</v>
          </cell>
          <cell r="I304">
            <v>5319483</v>
          </cell>
          <cell r="J304">
            <v>476049.55</v>
          </cell>
        </row>
        <row r="305">
          <cell r="C305" t="str">
            <v>MO</v>
          </cell>
          <cell r="F305" t="str">
            <v>Industrial</v>
          </cell>
          <cell r="G305" t="str">
            <v>GP-General Power</v>
          </cell>
          <cell r="H305">
            <v>0</v>
          </cell>
          <cell r="I305">
            <v>1934157</v>
          </cell>
          <cell r="J305">
            <v>182603.86</v>
          </cell>
        </row>
        <row r="306">
          <cell r="C306" t="str">
            <v>MO</v>
          </cell>
          <cell r="F306" t="str">
            <v>Industrial</v>
          </cell>
          <cell r="G306" t="str">
            <v>GP-General Power</v>
          </cell>
          <cell r="H306">
            <v>0</v>
          </cell>
          <cell r="I306">
            <v>622764</v>
          </cell>
          <cell r="J306">
            <v>73286.58</v>
          </cell>
        </row>
        <row r="307">
          <cell r="C307" t="str">
            <v>MO</v>
          </cell>
          <cell r="F307" t="str">
            <v>Industrial</v>
          </cell>
          <cell r="G307" t="str">
            <v>GP-General Power</v>
          </cell>
          <cell r="H307">
            <v>0</v>
          </cell>
          <cell r="I307">
            <v>2922848</v>
          </cell>
          <cell r="J307">
            <v>284507.18</v>
          </cell>
        </row>
        <row r="308">
          <cell r="C308" t="str">
            <v>MO</v>
          </cell>
          <cell r="F308" t="str">
            <v>Industrial</v>
          </cell>
          <cell r="G308" t="str">
            <v>GP-General Power Total</v>
          </cell>
          <cell r="H308">
            <v>143</v>
          </cell>
          <cell r="I308">
            <v>14151942</v>
          </cell>
          <cell r="J308">
            <v>1333662.3499999999</v>
          </cell>
        </row>
        <row r="309">
          <cell r="C309" t="str">
            <v>MO</v>
          </cell>
          <cell r="F309" t="str">
            <v>Industrial</v>
          </cell>
          <cell r="G309" t="str">
            <v>LP-Large Power</v>
          </cell>
          <cell r="H309">
            <v>0</v>
          </cell>
          <cell r="I309">
            <v>2971803</v>
          </cell>
          <cell r="J309">
            <v>225554.07</v>
          </cell>
        </row>
        <row r="310">
          <cell r="C310" t="str">
            <v>MO</v>
          </cell>
          <cell r="F310" t="str">
            <v>Industrial</v>
          </cell>
          <cell r="G310" t="str">
            <v>LP-Large Power</v>
          </cell>
          <cell r="H310">
            <v>0</v>
          </cell>
          <cell r="I310">
            <v>19200</v>
          </cell>
          <cell r="J310">
            <v>3120.6099999999988</v>
          </cell>
        </row>
        <row r="311">
          <cell r="C311" t="str">
            <v>MO</v>
          </cell>
          <cell r="F311" t="str">
            <v>Industrial</v>
          </cell>
          <cell r="G311" t="str">
            <v>LP-Large Power</v>
          </cell>
          <cell r="H311">
            <v>0</v>
          </cell>
          <cell r="I311">
            <v>19956036</v>
          </cell>
          <cell r="J311">
            <v>1486440.94</v>
          </cell>
        </row>
        <row r="312">
          <cell r="C312" t="str">
            <v>MO</v>
          </cell>
          <cell r="F312" t="str">
            <v>Industrial</v>
          </cell>
          <cell r="G312" t="str">
            <v>LP-Large Power</v>
          </cell>
          <cell r="H312">
            <v>0</v>
          </cell>
          <cell r="I312">
            <v>8675566</v>
          </cell>
          <cell r="J312">
            <v>672586.73</v>
          </cell>
        </row>
        <row r="313">
          <cell r="C313" t="str">
            <v>MO</v>
          </cell>
          <cell r="F313" t="str">
            <v>Industrial</v>
          </cell>
          <cell r="G313" t="str">
            <v>LP-Large Power</v>
          </cell>
          <cell r="H313">
            <v>0</v>
          </cell>
          <cell r="I313">
            <v>11301096</v>
          </cell>
          <cell r="J313">
            <v>821765.35</v>
          </cell>
        </row>
        <row r="314">
          <cell r="C314" t="str">
            <v>MO</v>
          </cell>
          <cell r="F314" t="str">
            <v>Industrial</v>
          </cell>
          <cell r="G314" t="str">
            <v>LP-Large Power Total</v>
          </cell>
          <cell r="H314">
            <v>26</v>
          </cell>
          <cell r="I314">
            <v>42923701</v>
          </cell>
          <cell r="J314">
            <v>3209467.6999999997</v>
          </cell>
        </row>
        <row r="315">
          <cell r="C315" t="str">
            <v>MO</v>
          </cell>
          <cell r="F315" t="str">
            <v>Industrial</v>
          </cell>
          <cell r="G315" t="str">
            <v>NM-Net Metering</v>
          </cell>
          <cell r="H315">
            <v>0</v>
          </cell>
          <cell r="I315">
            <v>0</v>
          </cell>
          <cell r="J315">
            <v>0</v>
          </cell>
        </row>
        <row r="316">
          <cell r="C316" t="str">
            <v>MO</v>
          </cell>
          <cell r="F316" t="str">
            <v>Industrial</v>
          </cell>
          <cell r="G316" t="str">
            <v>NM-Net Metering</v>
          </cell>
          <cell r="H316">
            <v>0</v>
          </cell>
          <cell r="I316">
            <v>0</v>
          </cell>
          <cell r="J316">
            <v>0</v>
          </cell>
        </row>
        <row r="317">
          <cell r="C317" t="str">
            <v>MO</v>
          </cell>
          <cell r="F317" t="str">
            <v>Industrial</v>
          </cell>
          <cell r="G317" t="str">
            <v>NM-Net Metering Total</v>
          </cell>
          <cell r="H317">
            <v>0</v>
          </cell>
          <cell r="I317">
            <v>0</v>
          </cell>
          <cell r="J317">
            <v>0</v>
          </cell>
        </row>
        <row r="318">
          <cell r="C318" t="str">
            <v>MO</v>
          </cell>
          <cell r="F318" t="str">
            <v>Industrial</v>
          </cell>
          <cell r="G318" t="str">
            <v>Oil Pipe GP-General Power</v>
          </cell>
          <cell r="H318">
            <v>0</v>
          </cell>
          <cell r="I318">
            <v>818673</v>
          </cell>
          <cell r="J318">
            <v>76227.45</v>
          </cell>
        </row>
        <row r="319">
          <cell r="C319" t="str">
            <v>MO</v>
          </cell>
          <cell r="F319" t="str">
            <v>Industrial</v>
          </cell>
          <cell r="G319" t="str">
            <v>Oil Pipe GP-General Power</v>
          </cell>
          <cell r="H319">
            <v>0</v>
          </cell>
          <cell r="I319">
            <v>101982</v>
          </cell>
          <cell r="J319">
            <v>8997.9599999999991</v>
          </cell>
        </row>
        <row r="320">
          <cell r="C320" t="str">
            <v>MO</v>
          </cell>
          <cell r="F320" t="str">
            <v>Industrial</v>
          </cell>
          <cell r="G320" t="str">
            <v>Oil Pipe GP-General Power</v>
          </cell>
          <cell r="H320">
            <v>0</v>
          </cell>
          <cell r="I320">
            <v>101982</v>
          </cell>
          <cell r="J320">
            <v>15733.28</v>
          </cell>
        </row>
        <row r="321">
          <cell r="C321" t="str">
            <v>MO</v>
          </cell>
          <cell r="F321" t="str">
            <v>Industrial</v>
          </cell>
          <cell r="G321" t="str">
            <v>Oil Pipe GP-General Power</v>
          </cell>
          <cell r="H321">
            <v>0</v>
          </cell>
          <cell r="I321">
            <v>246327</v>
          </cell>
          <cell r="J321">
            <v>22281</v>
          </cell>
        </row>
        <row r="322">
          <cell r="C322" t="str">
            <v>MO</v>
          </cell>
          <cell r="F322" t="str">
            <v>oil pipeline total</v>
          </cell>
          <cell r="G322" t="str">
            <v>Oil Pipe GP-General Power Total</v>
          </cell>
          <cell r="H322">
            <v>6</v>
          </cell>
          <cell r="I322">
            <v>1268964</v>
          </cell>
          <cell r="J322">
            <v>123239.69</v>
          </cell>
        </row>
        <row r="323">
          <cell r="C323" t="str">
            <v>MO</v>
          </cell>
          <cell r="F323" t="str">
            <v>Industrial</v>
          </cell>
          <cell r="G323" t="str">
            <v>Oil Pipe LP-Large Power</v>
          </cell>
          <cell r="H323">
            <v>0</v>
          </cell>
          <cell r="I323">
            <v>1211068</v>
          </cell>
          <cell r="J323">
            <v>106908.08</v>
          </cell>
        </row>
        <row r="324">
          <cell r="C324" t="str">
            <v>MO</v>
          </cell>
          <cell r="F324" t="str">
            <v>Industrial</v>
          </cell>
          <cell r="G324" t="str">
            <v>Oil Pipe LP-Large Power</v>
          </cell>
          <cell r="H324">
            <v>0</v>
          </cell>
          <cell r="I324">
            <v>199754</v>
          </cell>
          <cell r="J324">
            <v>26444.9</v>
          </cell>
        </row>
        <row r="325">
          <cell r="C325" t="str">
            <v>MO</v>
          </cell>
          <cell r="F325" t="str">
            <v>Industrial</v>
          </cell>
          <cell r="G325" t="str">
            <v>Oil Pipe LP-Large Power</v>
          </cell>
          <cell r="H325">
            <v>0</v>
          </cell>
          <cell r="I325">
            <v>280000</v>
          </cell>
          <cell r="J325">
            <v>32504.81</v>
          </cell>
        </row>
        <row r="326">
          <cell r="C326" t="str">
            <v>MO</v>
          </cell>
          <cell r="F326" t="str">
            <v>oil pipeline total</v>
          </cell>
          <cell r="G326" t="str">
            <v>Oil Pipe LP-Large Power Total</v>
          </cell>
          <cell r="H326">
            <v>5</v>
          </cell>
          <cell r="I326">
            <v>1690822</v>
          </cell>
          <cell r="J326">
            <v>165857.79</v>
          </cell>
        </row>
        <row r="327">
          <cell r="C327" t="str">
            <v>MO</v>
          </cell>
          <cell r="F327" t="str">
            <v>Industrial</v>
          </cell>
          <cell r="G327" t="str">
            <v>PFM-Feed Mill/Grain Elev</v>
          </cell>
          <cell r="H327">
            <v>0</v>
          </cell>
          <cell r="I327">
            <v>22640</v>
          </cell>
          <cell r="J327">
            <v>3845.14</v>
          </cell>
        </row>
        <row r="328">
          <cell r="C328" t="str">
            <v>MO</v>
          </cell>
          <cell r="F328" t="str">
            <v>Industrial</v>
          </cell>
          <cell r="G328" t="str">
            <v>PFM-Feed Mill/Grain Elev</v>
          </cell>
          <cell r="H328">
            <v>0</v>
          </cell>
          <cell r="I328">
            <v>14646</v>
          </cell>
          <cell r="J328">
            <v>2547.52</v>
          </cell>
        </row>
        <row r="329">
          <cell r="C329" t="str">
            <v>MO</v>
          </cell>
          <cell r="F329" t="str">
            <v>Industrial</v>
          </cell>
          <cell r="G329" t="str">
            <v>PFM-Feed Mill/Grain Elev</v>
          </cell>
          <cell r="H329">
            <v>0</v>
          </cell>
          <cell r="I329">
            <v>13440</v>
          </cell>
          <cell r="J329">
            <v>2278.5300000000002</v>
          </cell>
        </row>
        <row r="330">
          <cell r="C330" t="str">
            <v>MO</v>
          </cell>
          <cell r="F330" t="str">
            <v>Industrial</v>
          </cell>
          <cell r="G330" t="str">
            <v>PFM-Feed Mill/Grain Elev Total</v>
          </cell>
          <cell r="H330">
            <v>10</v>
          </cell>
          <cell r="I330">
            <v>50726</v>
          </cell>
          <cell r="J330">
            <v>8671.19</v>
          </cell>
        </row>
        <row r="331">
          <cell r="C331" t="str">
            <v>MO</v>
          </cell>
          <cell r="F331" t="str">
            <v>Industrial</v>
          </cell>
          <cell r="G331" t="str">
            <v>PL-Private Lighting</v>
          </cell>
          <cell r="H331">
            <v>0</v>
          </cell>
          <cell r="I331">
            <v>6169</v>
          </cell>
          <cell r="J331">
            <v>1553.22</v>
          </cell>
        </row>
        <row r="332">
          <cell r="C332" t="str">
            <v>MO</v>
          </cell>
          <cell r="F332" t="str">
            <v>Industrial</v>
          </cell>
          <cell r="G332" t="str">
            <v>PL-Private Lighting</v>
          </cell>
          <cell r="H332">
            <v>0</v>
          </cell>
          <cell r="I332">
            <v>515</v>
          </cell>
          <cell r="J332">
            <v>182.15</v>
          </cell>
        </row>
        <row r="333">
          <cell r="C333" t="str">
            <v>MO</v>
          </cell>
          <cell r="F333" t="str">
            <v>Industrial</v>
          </cell>
          <cell r="G333" t="str">
            <v>PL-Private Lighting</v>
          </cell>
          <cell r="H333">
            <v>0</v>
          </cell>
          <cell r="I333">
            <v>164</v>
          </cell>
          <cell r="J333">
            <v>60.73</v>
          </cell>
        </row>
        <row r="334">
          <cell r="C334" t="str">
            <v>MO</v>
          </cell>
          <cell r="F334" t="str">
            <v>Industrial</v>
          </cell>
          <cell r="G334" t="str">
            <v>PL-Private Lighting</v>
          </cell>
          <cell r="H334">
            <v>0</v>
          </cell>
          <cell r="I334">
            <v>9638</v>
          </cell>
          <cell r="J334">
            <v>2285.42</v>
          </cell>
        </row>
        <row r="335">
          <cell r="C335" t="str">
            <v>MO</v>
          </cell>
          <cell r="F335" t="str">
            <v>Industrial</v>
          </cell>
          <cell r="G335" t="str">
            <v>PL-Private Lighting</v>
          </cell>
          <cell r="H335">
            <v>0</v>
          </cell>
          <cell r="I335">
            <v>10159</v>
          </cell>
          <cell r="J335">
            <v>2491.7600000000002</v>
          </cell>
        </row>
        <row r="336">
          <cell r="C336" t="str">
            <v>MO</v>
          </cell>
          <cell r="F336" t="str">
            <v>Industrial</v>
          </cell>
          <cell r="G336" t="str">
            <v>PL-Private Lighting</v>
          </cell>
          <cell r="H336">
            <v>0</v>
          </cell>
          <cell r="I336">
            <v>2308</v>
          </cell>
          <cell r="J336">
            <v>961.78</v>
          </cell>
        </row>
        <row r="337">
          <cell r="C337" t="str">
            <v>MO</v>
          </cell>
          <cell r="F337" t="str">
            <v>Industrial</v>
          </cell>
          <cell r="G337" t="str">
            <v>PL-Private Lighting Total</v>
          </cell>
          <cell r="H337">
            <v>0</v>
          </cell>
          <cell r="I337">
            <v>28953</v>
          </cell>
          <cell r="J337">
            <v>7535.06</v>
          </cell>
        </row>
        <row r="338">
          <cell r="C338" t="str">
            <v>MO</v>
          </cell>
          <cell r="F338" t="str">
            <v>Industrial</v>
          </cell>
          <cell r="G338" t="str">
            <v>SC-P PRAXAIR Transmission</v>
          </cell>
          <cell r="H338">
            <v>0</v>
          </cell>
          <cell r="I338">
            <v>5739309</v>
          </cell>
          <cell r="J338">
            <v>313283.78000000003</v>
          </cell>
        </row>
        <row r="339">
          <cell r="C339" t="str">
            <v>MO</v>
          </cell>
          <cell r="F339" t="str">
            <v>praxair total</v>
          </cell>
          <cell r="G339" t="str">
            <v>SC-P PRAXAIR Transmission Total</v>
          </cell>
          <cell r="H339">
            <v>1</v>
          </cell>
          <cell r="I339">
            <v>5739309</v>
          </cell>
          <cell r="J339">
            <v>313283.78000000003</v>
          </cell>
        </row>
        <row r="340">
          <cell r="C340" t="str">
            <v>MO</v>
          </cell>
          <cell r="F340" t="str">
            <v>Industrial</v>
          </cell>
          <cell r="G340" t="str">
            <v>SH-Small Heating</v>
          </cell>
          <cell r="H340">
            <v>0</v>
          </cell>
          <cell r="I340">
            <v>480</v>
          </cell>
          <cell r="J340">
            <v>84.48</v>
          </cell>
        </row>
        <row r="341">
          <cell r="C341" t="str">
            <v>MO</v>
          </cell>
          <cell r="F341" t="str">
            <v>Industrial</v>
          </cell>
          <cell r="G341" t="str">
            <v>SH-Small Heating</v>
          </cell>
          <cell r="H341">
            <v>0</v>
          </cell>
          <cell r="I341">
            <v>25004</v>
          </cell>
          <cell r="J341">
            <v>2721.17</v>
          </cell>
        </row>
        <row r="342">
          <cell r="C342" t="str">
            <v>MO</v>
          </cell>
          <cell r="F342" t="str">
            <v>Industrial</v>
          </cell>
          <cell r="G342" t="str">
            <v>SH-Small Heating</v>
          </cell>
          <cell r="H342">
            <v>0</v>
          </cell>
          <cell r="I342">
            <v>6099</v>
          </cell>
          <cell r="J342">
            <v>631.96</v>
          </cell>
        </row>
        <row r="343">
          <cell r="C343" t="str">
            <v>MO</v>
          </cell>
          <cell r="F343" t="str">
            <v>Industrial</v>
          </cell>
          <cell r="G343" t="str">
            <v>SH-Small Heating Total</v>
          </cell>
          <cell r="H343">
            <v>9</v>
          </cell>
          <cell r="I343">
            <v>31583</v>
          </cell>
          <cell r="J343">
            <v>3437.61</v>
          </cell>
        </row>
        <row r="344">
          <cell r="C344" t="str">
            <v>MO</v>
          </cell>
          <cell r="F344" t="str">
            <v>Industrial</v>
          </cell>
          <cell r="G344" t="str">
            <v>TEB-Total Electric Bldg</v>
          </cell>
          <cell r="H344">
            <v>0</v>
          </cell>
          <cell r="I344">
            <v>41600</v>
          </cell>
          <cell r="J344">
            <v>4094.03</v>
          </cell>
        </row>
        <row r="345">
          <cell r="C345" t="str">
            <v>MO</v>
          </cell>
          <cell r="F345" t="str">
            <v>Industrial</v>
          </cell>
          <cell r="G345" t="str">
            <v>TEB-Total Electric Bldg</v>
          </cell>
          <cell r="H345">
            <v>0</v>
          </cell>
          <cell r="I345">
            <v>410680</v>
          </cell>
          <cell r="J345">
            <v>39324.44</v>
          </cell>
        </row>
        <row r="346">
          <cell r="C346" t="str">
            <v>MO</v>
          </cell>
          <cell r="F346" t="str">
            <v>Industrial</v>
          </cell>
          <cell r="G346" t="str">
            <v>TEB-Total Electric Bldg</v>
          </cell>
          <cell r="H346">
            <v>0</v>
          </cell>
          <cell r="I346">
            <v>53520</v>
          </cell>
          <cell r="J346">
            <v>5018.78</v>
          </cell>
        </row>
        <row r="347">
          <cell r="C347" t="str">
            <v>MO</v>
          </cell>
          <cell r="F347" t="str">
            <v>Industrial</v>
          </cell>
          <cell r="G347" t="str">
            <v>TEB-Total Electric Bldg</v>
          </cell>
          <cell r="H347">
            <v>0</v>
          </cell>
          <cell r="I347">
            <v>2480</v>
          </cell>
          <cell r="J347">
            <v>473.03</v>
          </cell>
        </row>
        <row r="348">
          <cell r="C348" t="str">
            <v>MO</v>
          </cell>
          <cell r="F348" t="str">
            <v>Industrial</v>
          </cell>
          <cell r="G348" t="str">
            <v>TEB-Total Electric Bldg</v>
          </cell>
          <cell r="H348">
            <v>0</v>
          </cell>
          <cell r="I348">
            <v>310000</v>
          </cell>
          <cell r="J348">
            <v>25055.83</v>
          </cell>
        </row>
        <row r="349">
          <cell r="C349" t="str">
            <v>MO</v>
          </cell>
          <cell r="F349" t="str">
            <v>Industrial</v>
          </cell>
          <cell r="G349" t="str">
            <v>TEB-Total Electric Bldg Total</v>
          </cell>
          <cell r="H349">
            <v>11</v>
          </cell>
          <cell r="I349">
            <v>818280</v>
          </cell>
          <cell r="J349">
            <v>73966.11</v>
          </cell>
        </row>
        <row r="350">
          <cell r="C350" t="str">
            <v>MO</v>
          </cell>
          <cell r="F350" t="str">
            <v>Industrial Total</v>
          </cell>
          <cell r="G350">
            <v>0</v>
          </cell>
          <cell r="H350">
            <v>279</v>
          </cell>
          <cell r="I350">
            <v>66851809</v>
          </cell>
          <cell r="J350">
            <v>5258511.0400000019</v>
          </cell>
        </row>
        <row r="351">
          <cell r="C351" t="str">
            <v>MO</v>
          </cell>
          <cell r="F351" t="str">
            <v>Muni Street &amp; Highway Lighting</v>
          </cell>
          <cell r="G351" t="str">
            <v>CB-Commercial</v>
          </cell>
          <cell r="H351">
            <v>0</v>
          </cell>
          <cell r="I351">
            <v>9683</v>
          </cell>
          <cell r="J351">
            <v>1965.34</v>
          </cell>
        </row>
        <row r="352">
          <cell r="C352" t="str">
            <v>MO</v>
          </cell>
          <cell r="F352" t="str">
            <v>Muni Street &amp; Highway Lighting</v>
          </cell>
          <cell r="G352" t="str">
            <v>CB-Commercial</v>
          </cell>
          <cell r="H352">
            <v>0</v>
          </cell>
          <cell r="I352">
            <v>13553</v>
          </cell>
          <cell r="J352">
            <v>2668.24</v>
          </cell>
        </row>
        <row r="353">
          <cell r="C353" t="str">
            <v>MO</v>
          </cell>
          <cell r="F353" t="str">
            <v>Muni Street &amp; Highway Lighting</v>
          </cell>
          <cell r="G353" t="str">
            <v>CB-Commercial</v>
          </cell>
          <cell r="H353">
            <v>0</v>
          </cell>
          <cell r="I353">
            <v>31032</v>
          </cell>
          <cell r="J353">
            <v>5119.3900000000003</v>
          </cell>
        </row>
        <row r="354">
          <cell r="C354" t="str">
            <v>MO</v>
          </cell>
          <cell r="F354" t="str">
            <v>Muni Street &amp; Highway Lighting</v>
          </cell>
          <cell r="G354" t="str">
            <v>CB-Commercial</v>
          </cell>
          <cell r="H354">
            <v>0</v>
          </cell>
          <cell r="I354">
            <v>27320</v>
          </cell>
          <cell r="J354">
            <v>4682.28</v>
          </cell>
        </row>
        <row r="355">
          <cell r="C355" t="str">
            <v>MO</v>
          </cell>
          <cell r="F355" t="str">
            <v>Muni Street &amp; Highway Lighting</v>
          </cell>
          <cell r="G355" t="str">
            <v>CB-Commercial</v>
          </cell>
          <cell r="H355">
            <v>0</v>
          </cell>
          <cell r="I355">
            <v>10485</v>
          </cell>
          <cell r="J355">
            <v>2510.79</v>
          </cell>
        </row>
        <row r="356">
          <cell r="C356" t="str">
            <v>MO</v>
          </cell>
          <cell r="F356" t="str">
            <v>Muni Street &amp; Highway Lighting</v>
          </cell>
          <cell r="G356" t="str">
            <v>CB-Commercial</v>
          </cell>
          <cell r="H356">
            <v>0</v>
          </cell>
          <cell r="I356">
            <v>5680</v>
          </cell>
          <cell r="J356">
            <v>1416.41</v>
          </cell>
        </row>
        <row r="357">
          <cell r="C357" t="str">
            <v>MO</v>
          </cell>
          <cell r="F357" t="str">
            <v>Muni Street &amp; Highway Lighting</v>
          </cell>
          <cell r="G357" t="str">
            <v>CB-Commercial</v>
          </cell>
          <cell r="H357">
            <v>0</v>
          </cell>
          <cell r="I357">
            <v>3121</v>
          </cell>
          <cell r="J357">
            <v>609.87</v>
          </cell>
        </row>
        <row r="358">
          <cell r="C358" t="str">
            <v>MO</v>
          </cell>
          <cell r="F358" t="str">
            <v>Muni Street &amp; Highway Lighting</v>
          </cell>
          <cell r="G358" t="str">
            <v>CB-Commercial</v>
          </cell>
          <cell r="H358">
            <v>0</v>
          </cell>
          <cell r="I358">
            <v>14687</v>
          </cell>
          <cell r="J358">
            <v>2655.69</v>
          </cell>
        </row>
        <row r="359">
          <cell r="C359" t="str">
            <v>MO</v>
          </cell>
          <cell r="F359" t="str">
            <v>Muni Street &amp; Highway Lighting</v>
          </cell>
          <cell r="G359" t="str">
            <v>CB-Commercial Total</v>
          </cell>
          <cell r="H359">
            <v>314</v>
          </cell>
          <cell r="I359">
            <v>115561</v>
          </cell>
          <cell r="J359">
            <v>21628.01</v>
          </cell>
        </row>
        <row r="360">
          <cell r="C360" t="str">
            <v>MO</v>
          </cell>
          <cell r="F360" t="str">
            <v>Muni Street &amp; Highway Lighting</v>
          </cell>
          <cell r="G360" t="str">
            <v>GP-General Power</v>
          </cell>
          <cell r="H360">
            <v>0</v>
          </cell>
          <cell r="I360">
            <v>35200</v>
          </cell>
          <cell r="J360">
            <v>3430.2299999999996</v>
          </cell>
        </row>
        <row r="361">
          <cell r="C361" t="str">
            <v>MO</v>
          </cell>
          <cell r="F361" t="str">
            <v>Muni Street &amp; Highway Lighting</v>
          </cell>
          <cell r="G361" t="str">
            <v>GP-General Power</v>
          </cell>
          <cell r="H361">
            <v>0</v>
          </cell>
          <cell r="I361">
            <v>3680</v>
          </cell>
          <cell r="J361">
            <v>863.84</v>
          </cell>
        </row>
        <row r="362">
          <cell r="C362" t="str">
            <v>MO</v>
          </cell>
          <cell r="F362" t="str">
            <v>Muni Street &amp; Highway Lighting</v>
          </cell>
          <cell r="G362" t="str">
            <v>GP-General Power Total</v>
          </cell>
          <cell r="H362">
            <v>2</v>
          </cell>
          <cell r="I362">
            <v>38880</v>
          </cell>
          <cell r="J362">
            <v>4294.07</v>
          </cell>
        </row>
        <row r="363">
          <cell r="C363" t="str">
            <v>MO</v>
          </cell>
          <cell r="F363" t="str">
            <v>Muni Street &amp; Highway Lighting</v>
          </cell>
          <cell r="G363" t="str">
            <v>LS-Special Lighting</v>
          </cell>
          <cell r="H363">
            <v>0</v>
          </cell>
          <cell r="I363">
            <v>6810</v>
          </cell>
          <cell r="J363">
            <v>1425.02</v>
          </cell>
        </row>
        <row r="364">
          <cell r="C364" t="str">
            <v>MO</v>
          </cell>
          <cell r="F364" t="str">
            <v>Muni Street &amp; Highway Lighting</v>
          </cell>
          <cell r="G364" t="str">
            <v>LS-Special Lighting</v>
          </cell>
          <cell r="H364">
            <v>0</v>
          </cell>
          <cell r="I364">
            <v>1179</v>
          </cell>
          <cell r="J364">
            <v>257.7</v>
          </cell>
        </row>
        <row r="365">
          <cell r="C365" t="str">
            <v>MO</v>
          </cell>
          <cell r="F365" t="str">
            <v>Muni Street &amp; Highway Lighting</v>
          </cell>
          <cell r="G365" t="str">
            <v>LS-Special Lighting</v>
          </cell>
          <cell r="H365">
            <v>0</v>
          </cell>
          <cell r="I365">
            <v>4028</v>
          </cell>
          <cell r="J365">
            <v>683.7</v>
          </cell>
        </row>
        <row r="366">
          <cell r="C366" t="str">
            <v>MO</v>
          </cell>
          <cell r="F366" t="str">
            <v>Muni Street &amp; Highway Lighting</v>
          </cell>
          <cell r="G366" t="str">
            <v>LS-Special Lighting</v>
          </cell>
          <cell r="H366">
            <v>0</v>
          </cell>
          <cell r="I366">
            <v>97</v>
          </cell>
          <cell r="J366">
            <v>46.66</v>
          </cell>
        </row>
        <row r="367">
          <cell r="C367" t="str">
            <v>MO</v>
          </cell>
          <cell r="F367" t="str">
            <v>Muni Street &amp; Highway Lighting</v>
          </cell>
          <cell r="G367" t="str">
            <v>LS-Special Lighting</v>
          </cell>
          <cell r="H367">
            <v>0</v>
          </cell>
          <cell r="I367">
            <v>906</v>
          </cell>
          <cell r="J367">
            <v>214.49</v>
          </cell>
        </row>
        <row r="368">
          <cell r="C368" t="str">
            <v>MO</v>
          </cell>
          <cell r="F368" t="str">
            <v>Muni Street &amp; Highway Lighting</v>
          </cell>
          <cell r="G368" t="str">
            <v>LS-Special Lighting</v>
          </cell>
          <cell r="H368">
            <v>0</v>
          </cell>
          <cell r="I368">
            <v>837</v>
          </cell>
          <cell r="J368">
            <v>278.31</v>
          </cell>
        </row>
        <row r="369">
          <cell r="C369" t="str">
            <v>MO</v>
          </cell>
          <cell r="F369" t="str">
            <v>Muni Street &amp; Highway Lighting</v>
          </cell>
          <cell r="G369" t="str">
            <v>LS-Special Lighting</v>
          </cell>
          <cell r="H369">
            <v>0</v>
          </cell>
          <cell r="I369">
            <v>1</v>
          </cell>
          <cell r="J369">
            <v>46.66</v>
          </cell>
        </row>
        <row r="370">
          <cell r="C370" t="str">
            <v>MO</v>
          </cell>
          <cell r="F370" t="str">
            <v>Muni Street &amp; Highway Lighting</v>
          </cell>
          <cell r="G370" t="str">
            <v>LS-Special Lighting</v>
          </cell>
          <cell r="H370">
            <v>0</v>
          </cell>
          <cell r="I370">
            <v>897</v>
          </cell>
          <cell r="J370">
            <v>205.06</v>
          </cell>
        </row>
        <row r="371">
          <cell r="C371" t="str">
            <v>MO</v>
          </cell>
          <cell r="F371" t="str">
            <v>Muni Street &amp; Highway Lighting</v>
          </cell>
          <cell r="G371" t="str">
            <v>LS-Special Lighting Total</v>
          </cell>
          <cell r="H371">
            <v>78</v>
          </cell>
          <cell r="I371">
            <v>14755</v>
          </cell>
          <cell r="J371">
            <v>3157.5999999999995</v>
          </cell>
        </row>
        <row r="372">
          <cell r="C372" t="str">
            <v>MO</v>
          </cell>
          <cell r="F372" t="str">
            <v>Muni Street &amp; Highway Lighting</v>
          </cell>
          <cell r="G372" t="str">
            <v>MS-Miscellaneous</v>
          </cell>
          <cell r="H372">
            <v>0</v>
          </cell>
          <cell r="I372">
            <v>0</v>
          </cell>
          <cell r="J372">
            <v>19.510000000000002</v>
          </cell>
        </row>
        <row r="373">
          <cell r="C373" t="str">
            <v>MO</v>
          </cell>
          <cell r="F373" t="str">
            <v>Muni Street &amp; Highway Lighting</v>
          </cell>
          <cell r="G373" t="str">
            <v>MS-Miscellaneous</v>
          </cell>
          <cell r="H373">
            <v>0</v>
          </cell>
          <cell r="I373">
            <v>11295</v>
          </cell>
          <cell r="J373">
            <v>1168.21</v>
          </cell>
        </row>
        <row r="374">
          <cell r="C374" t="str">
            <v>MO</v>
          </cell>
          <cell r="F374" t="str">
            <v>Muni Street &amp; Highway Lighting</v>
          </cell>
          <cell r="G374" t="str">
            <v>MS-Miscellaneous Total</v>
          </cell>
          <cell r="H374">
            <v>2</v>
          </cell>
          <cell r="I374">
            <v>11295</v>
          </cell>
          <cell r="J374">
            <v>1187.72</v>
          </cell>
        </row>
        <row r="375">
          <cell r="C375" t="str">
            <v>MO</v>
          </cell>
          <cell r="F375" t="str">
            <v>Muni Street &amp; Highway Lighting</v>
          </cell>
          <cell r="G375" t="str">
            <v>PL-Private Lighting</v>
          </cell>
          <cell r="H375">
            <v>0</v>
          </cell>
          <cell r="I375">
            <v>174</v>
          </cell>
          <cell r="J375">
            <v>68.19</v>
          </cell>
        </row>
        <row r="376">
          <cell r="C376" t="str">
            <v>MO</v>
          </cell>
          <cell r="F376" t="str">
            <v>Muni Street &amp; Highway Lighting</v>
          </cell>
          <cell r="G376" t="str">
            <v>PL-Private Lighting</v>
          </cell>
          <cell r="H376">
            <v>0</v>
          </cell>
          <cell r="I376">
            <v>249</v>
          </cell>
          <cell r="J376">
            <v>86.66</v>
          </cell>
        </row>
        <row r="377">
          <cell r="C377" t="str">
            <v>MO</v>
          </cell>
          <cell r="F377" t="str">
            <v>Muni Street &amp; Highway Lighting</v>
          </cell>
          <cell r="G377" t="str">
            <v>PL-Private Lighting</v>
          </cell>
          <cell r="H377">
            <v>0</v>
          </cell>
          <cell r="I377">
            <v>674</v>
          </cell>
          <cell r="J377">
            <v>244.46</v>
          </cell>
        </row>
        <row r="378">
          <cell r="C378" t="str">
            <v>MO</v>
          </cell>
          <cell r="F378" t="str">
            <v>Muni Street &amp; Highway Lighting</v>
          </cell>
          <cell r="G378" t="str">
            <v>PL-Private Lighting</v>
          </cell>
          <cell r="H378">
            <v>0</v>
          </cell>
          <cell r="I378">
            <v>4396</v>
          </cell>
          <cell r="J378">
            <v>1009.78</v>
          </cell>
        </row>
        <row r="379">
          <cell r="C379" t="str">
            <v>MO</v>
          </cell>
          <cell r="F379" t="str">
            <v>Muni Street &amp; Highway Lighting</v>
          </cell>
          <cell r="G379" t="str">
            <v>PL-Private Lighting</v>
          </cell>
          <cell r="H379">
            <v>0</v>
          </cell>
          <cell r="I379">
            <v>441</v>
          </cell>
          <cell r="J379">
            <v>151.81</v>
          </cell>
        </row>
        <row r="380">
          <cell r="C380" t="str">
            <v>MO</v>
          </cell>
          <cell r="F380" t="str">
            <v>Muni Street &amp; Highway Lighting</v>
          </cell>
          <cell r="G380" t="str">
            <v>PL-Private Lighting</v>
          </cell>
          <cell r="H380">
            <v>0</v>
          </cell>
          <cell r="I380">
            <v>671</v>
          </cell>
          <cell r="J380">
            <v>194.2</v>
          </cell>
        </row>
        <row r="381">
          <cell r="C381" t="str">
            <v>MO</v>
          </cell>
          <cell r="F381" t="str">
            <v>Muni Street &amp; Highway Lighting</v>
          </cell>
          <cell r="G381" t="str">
            <v>PL-Private Lighting</v>
          </cell>
          <cell r="H381">
            <v>0</v>
          </cell>
          <cell r="I381">
            <v>431</v>
          </cell>
          <cell r="J381">
            <v>82.03</v>
          </cell>
        </row>
        <row r="382">
          <cell r="C382" t="str">
            <v>MO</v>
          </cell>
          <cell r="F382" t="str">
            <v>Muni Street &amp; Highway Lighting</v>
          </cell>
          <cell r="G382" t="str">
            <v>PL-Private Lighting</v>
          </cell>
          <cell r="H382">
            <v>0</v>
          </cell>
          <cell r="I382">
            <v>930</v>
          </cell>
          <cell r="J382">
            <v>345.44</v>
          </cell>
        </row>
        <row r="383">
          <cell r="C383" t="str">
            <v>MO</v>
          </cell>
          <cell r="F383" t="str">
            <v>Muni Street &amp; Highway Lighting</v>
          </cell>
          <cell r="G383" t="str">
            <v>PL-Private Lighting Total</v>
          </cell>
          <cell r="H383">
            <v>0</v>
          </cell>
          <cell r="I383">
            <v>7966</v>
          </cell>
          <cell r="J383">
            <v>2182.5699999999997</v>
          </cell>
        </row>
        <row r="384">
          <cell r="C384" t="str">
            <v>MO</v>
          </cell>
          <cell r="F384" t="str">
            <v>Muni Street &amp; Highway Lighting</v>
          </cell>
          <cell r="G384" t="str">
            <v>SH-Small Heating</v>
          </cell>
          <cell r="H384">
            <v>0</v>
          </cell>
          <cell r="I384">
            <v>6468</v>
          </cell>
          <cell r="J384">
            <v>712.92</v>
          </cell>
        </row>
        <row r="385">
          <cell r="C385" t="str">
            <v>MO</v>
          </cell>
          <cell r="F385" t="str">
            <v>Muni Street &amp; Highway Lighting</v>
          </cell>
          <cell r="G385" t="str">
            <v>SH-Small Heating Total</v>
          </cell>
          <cell r="H385">
            <v>2</v>
          </cell>
          <cell r="I385">
            <v>6468</v>
          </cell>
          <cell r="J385">
            <v>712.92</v>
          </cell>
        </row>
        <row r="386">
          <cell r="C386" t="str">
            <v>MO</v>
          </cell>
          <cell r="F386" t="str">
            <v>Muni Street &amp; Highway Lighting</v>
          </cell>
          <cell r="G386" t="str">
            <v>SPL-Municipal St Lighting</v>
          </cell>
          <cell r="H386">
            <v>0</v>
          </cell>
          <cell r="I386">
            <v>144742</v>
          </cell>
          <cell r="J386">
            <v>13619.34</v>
          </cell>
        </row>
        <row r="387">
          <cell r="C387" t="str">
            <v>MO</v>
          </cell>
          <cell r="F387" t="str">
            <v>Muni Street &amp; Highway Lighting</v>
          </cell>
          <cell r="G387" t="str">
            <v>SPL-Municipal St Lighting</v>
          </cell>
          <cell r="H387">
            <v>0</v>
          </cell>
          <cell r="I387">
            <v>260116</v>
          </cell>
          <cell r="J387">
            <v>25747.87</v>
          </cell>
        </row>
        <row r="388">
          <cell r="C388" t="str">
            <v>MO</v>
          </cell>
          <cell r="F388" t="str">
            <v>Muni Street &amp; Highway Lighting</v>
          </cell>
          <cell r="G388" t="str">
            <v>SPL-Municipal St Lighting</v>
          </cell>
          <cell r="H388">
            <v>0</v>
          </cell>
          <cell r="I388">
            <v>265031</v>
          </cell>
          <cell r="J388">
            <v>25544.44</v>
          </cell>
        </row>
        <row r="389">
          <cell r="C389" t="str">
            <v>MO</v>
          </cell>
          <cell r="F389" t="str">
            <v>Muni Street &amp; Highway Lighting</v>
          </cell>
          <cell r="G389" t="str">
            <v>SPL-Municipal St Lighting</v>
          </cell>
          <cell r="H389">
            <v>0</v>
          </cell>
          <cell r="I389">
            <v>528534</v>
          </cell>
          <cell r="J389">
            <v>55429.760000000002</v>
          </cell>
        </row>
        <row r="390">
          <cell r="C390" t="str">
            <v>MO</v>
          </cell>
          <cell r="F390" t="str">
            <v>Muni Street &amp; Highway Lighting</v>
          </cell>
          <cell r="G390" t="str">
            <v>SPL-Municipal St Lighting</v>
          </cell>
          <cell r="H390">
            <v>0</v>
          </cell>
          <cell r="I390">
            <v>226581</v>
          </cell>
          <cell r="J390">
            <v>22293.23</v>
          </cell>
        </row>
        <row r="391">
          <cell r="C391" t="str">
            <v>MO</v>
          </cell>
          <cell r="F391" t="str">
            <v>Muni Street &amp; Highway Lighting</v>
          </cell>
          <cell r="G391" t="str">
            <v>SPL-Municipal St Lighting</v>
          </cell>
          <cell r="H391">
            <v>0</v>
          </cell>
          <cell r="I391">
            <v>188540</v>
          </cell>
          <cell r="J391">
            <v>19779.310000000001</v>
          </cell>
        </row>
        <row r="392">
          <cell r="C392" t="str">
            <v>MO</v>
          </cell>
          <cell r="F392" t="str">
            <v>Muni Street &amp; Highway Lighting</v>
          </cell>
          <cell r="G392" t="str">
            <v>SPL-Municipal St Lighting</v>
          </cell>
          <cell r="H392">
            <v>0</v>
          </cell>
          <cell r="I392">
            <v>130521</v>
          </cell>
          <cell r="J392">
            <v>14335.21</v>
          </cell>
        </row>
        <row r="393">
          <cell r="C393" t="str">
            <v>MO</v>
          </cell>
          <cell r="F393" t="str">
            <v>Muni Street &amp; Highway Lighting</v>
          </cell>
          <cell r="G393" t="str">
            <v>SPL-Municipal St Lighting</v>
          </cell>
          <cell r="H393">
            <v>0</v>
          </cell>
          <cell r="I393">
            <v>160075</v>
          </cell>
          <cell r="J393">
            <v>15693.21</v>
          </cell>
        </row>
        <row r="394">
          <cell r="C394" t="str">
            <v>MO</v>
          </cell>
          <cell r="F394" t="str">
            <v>Muni Street &amp; Highway Lighting</v>
          </cell>
          <cell r="G394" t="str">
            <v>SPL-Municipal St Lighting Total</v>
          </cell>
          <cell r="H394">
            <v>7</v>
          </cell>
          <cell r="I394">
            <v>1904140</v>
          </cell>
          <cell r="J394">
            <v>192442.37</v>
          </cell>
        </row>
        <row r="395">
          <cell r="C395" t="str">
            <v>MO</v>
          </cell>
          <cell r="F395" t="str">
            <v>Muni Street &amp; Highway Lighting Total</v>
          </cell>
          <cell r="G395">
            <v>0</v>
          </cell>
          <cell r="H395">
            <v>405</v>
          </cell>
          <cell r="I395">
            <v>2099065</v>
          </cell>
          <cell r="J395">
            <v>225605.25999999998</v>
          </cell>
        </row>
        <row r="396">
          <cell r="C396" t="str">
            <v>MO</v>
          </cell>
          <cell r="F396" t="str">
            <v>Other Public Authority</v>
          </cell>
          <cell r="G396" t="str">
            <v>CB-Commercial</v>
          </cell>
          <cell r="H396">
            <v>0</v>
          </cell>
          <cell r="I396">
            <v>48357</v>
          </cell>
          <cell r="J396">
            <v>7300.34</v>
          </cell>
        </row>
        <row r="397">
          <cell r="C397" t="str">
            <v>MO</v>
          </cell>
          <cell r="F397" t="str">
            <v>Other Public Authority</v>
          </cell>
          <cell r="G397" t="str">
            <v>CB-Commercial</v>
          </cell>
          <cell r="H397">
            <v>0</v>
          </cell>
          <cell r="I397">
            <v>69422</v>
          </cell>
          <cell r="J397">
            <v>9749.86</v>
          </cell>
        </row>
        <row r="398">
          <cell r="C398" t="str">
            <v>MO</v>
          </cell>
          <cell r="F398" t="str">
            <v>Other Public Authority</v>
          </cell>
          <cell r="G398" t="str">
            <v>CB-Commercial</v>
          </cell>
          <cell r="H398">
            <v>0</v>
          </cell>
          <cell r="I398">
            <v>53578</v>
          </cell>
          <cell r="J398">
            <v>8861.3700000000008</v>
          </cell>
        </row>
        <row r="399">
          <cell r="C399" t="str">
            <v>MO</v>
          </cell>
          <cell r="F399" t="str">
            <v>Other Public Authority</v>
          </cell>
          <cell r="G399" t="str">
            <v>CB-Commercial</v>
          </cell>
          <cell r="H399">
            <v>0</v>
          </cell>
          <cell r="I399">
            <v>126990</v>
          </cell>
          <cell r="J399">
            <v>18343.349999999999</v>
          </cell>
        </row>
        <row r="400">
          <cell r="C400" t="str">
            <v>MO</v>
          </cell>
          <cell r="F400" t="str">
            <v>Other Public Authority</v>
          </cell>
          <cell r="G400" t="str">
            <v>CB-Commercial</v>
          </cell>
          <cell r="H400">
            <v>0</v>
          </cell>
          <cell r="I400">
            <v>79754</v>
          </cell>
          <cell r="J400">
            <v>11394.72</v>
          </cell>
        </row>
        <row r="401">
          <cell r="C401" t="str">
            <v>MO</v>
          </cell>
          <cell r="F401" t="str">
            <v>Other Public Authority</v>
          </cell>
          <cell r="G401" t="str">
            <v>CB-Commercial</v>
          </cell>
          <cell r="H401">
            <v>0</v>
          </cell>
          <cell r="I401">
            <v>105718</v>
          </cell>
          <cell r="J401">
            <v>15563.83</v>
          </cell>
        </row>
        <row r="402">
          <cell r="C402" t="str">
            <v>MO</v>
          </cell>
          <cell r="F402" t="str">
            <v>Other Public Authority</v>
          </cell>
          <cell r="G402" t="str">
            <v>CB-Commercial</v>
          </cell>
          <cell r="H402">
            <v>0</v>
          </cell>
          <cell r="I402">
            <v>137262</v>
          </cell>
          <cell r="J402">
            <v>18262.7</v>
          </cell>
        </row>
        <row r="403">
          <cell r="C403" t="str">
            <v>MO</v>
          </cell>
          <cell r="F403" t="str">
            <v>Other Public Authority</v>
          </cell>
          <cell r="G403" t="str">
            <v>CB-Commercial</v>
          </cell>
          <cell r="H403">
            <v>0</v>
          </cell>
          <cell r="I403">
            <v>17418</v>
          </cell>
          <cell r="J403">
            <v>2880.78</v>
          </cell>
        </row>
        <row r="404">
          <cell r="C404" t="str">
            <v>MO</v>
          </cell>
          <cell r="F404" t="str">
            <v>Other Public Authority</v>
          </cell>
          <cell r="G404" t="str">
            <v>CB-Commercial</v>
          </cell>
          <cell r="H404">
            <v>0</v>
          </cell>
          <cell r="I404">
            <v>71229</v>
          </cell>
          <cell r="J404">
            <v>11205.81</v>
          </cell>
        </row>
        <row r="405">
          <cell r="C405" t="str">
            <v>MO</v>
          </cell>
          <cell r="F405" t="str">
            <v>Other Public Authority</v>
          </cell>
          <cell r="G405" t="str">
            <v>CB-Commercial</v>
          </cell>
          <cell r="H405">
            <v>0</v>
          </cell>
          <cell r="I405">
            <v>226797</v>
          </cell>
          <cell r="J405">
            <v>28959.77</v>
          </cell>
        </row>
        <row r="406">
          <cell r="C406" t="str">
            <v>MO</v>
          </cell>
          <cell r="F406" t="str">
            <v>Other Public Authority</v>
          </cell>
          <cell r="G406" t="str">
            <v>CB-Commercial</v>
          </cell>
          <cell r="H406">
            <v>0</v>
          </cell>
          <cell r="I406">
            <v>66080</v>
          </cell>
          <cell r="J406">
            <v>9425.51</v>
          </cell>
        </row>
        <row r="407">
          <cell r="C407" t="str">
            <v>MO</v>
          </cell>
          <cell r="F407" t="str">
            <v>Other Public Authority</v>
          </cell>
          <cell r="G407" t="str">
            <v>CB-Commercial</v>
          </cell>
          <cell r="H407">
            <v>0</v>
          </cell>
          <cell r="I407">
            <v>110358</v>
          </cell>
          <cell r="J407">
            <v>15362.9</v>
          </cell>
        </row>
        <row r="408">
          <cell r="C408" t="str">
            <v>MO</v>
          </cell>
          <cell r="F408" t="str">
            <v>Other Public Authority</v>
          </cell>
          <cell r="G408" t="str">
            <v>CB-Commercial</v>
          </cell>
          <cell r="H408">
            <v>0</v>
          </cell>
          <cell r="I408">
            <v>18764</v>
          </cell>
          <cell r="J408">
            <v>2588.98</v>
          </cell>
        </row>
        <row r="409">
          <cell r="C409" t="str">
            <v>MO</v>
          </cell>
          <cell r="F409" t="str">
            <v>Other Public Authority</v>
          </cell>
          <cell r="G409" t="str">
            <v>CB-Commercial</v>
          </cell>
          <cell r="H409">
            <v>0</v>
          </cell>
          <cell r="I409">
            <v>11398</v>
          </cell>
          <cell r="J409">
            <v>1613.13</v>
          </cell>
        </row>
        <row r="410">
          <cell r="C410" t="str">
            <v>MO</v>
          </cell>
          <cell r="F410" t="str">
            <v>Other Public Authority</v>
          </cell>
          <cell r="G410" t="str">
            <v>CB-Commercial</v>
          </cell>
          <cell r="H410">
            <v>0</v>
          </cell>
          <cell r="I410">
            <v>58424</v>
          </cell>
          <cell r="J410">
            <v>8691.9500000000007</v>
          </cell>
        </row>
        <row r="411">
          <cell r="C411" t="str">
            <v>MO</v>
          </cell>
          <cell r="F411" t="str">
            <v>Other Public Authority</v>
          </cell>
          <cell r="G411" t="str">
            <v>CB-Commercial</v>
          </cell>
          <cell r="H411">
            <v>0</v>
          </cell>
          <cell r="I411">
            <v>81619</v>
          </cell>
          <cell r="J411">
            <v>11372.15</v>
          </cell>
        </row>
        <row r="412">
          <cell r="C412" t="str">
            <v>MO</v>
          </cell>
          <cell r="F412" t="str">
            <v>Other Public Authority</v>
          </cell>
          <cell r="G412" t="str">
            <v>CB-Commercial Total</v>
          </cell>
          <cell r="H412">
            <v>1087</v>
          </cell>
          <cell r="I412">
            <v>1283168</v>
          </cell>
          <cell r="J412">
            <v>181577.15000000002</v>
          </cell>
        </row>
        <row r="413">
          <cell r="C413" t="str">
            <v>MO</v>
          </cell>
          <cell r="F413" t="str">
            <v>Other Public Authority</v>
          </cell>
          <cell r="G413" t="str">
            <v>GP-General Power</v>
          </cell>
          <cell r="H413">
            <v>0</v>
          </cell>
          <cell r="I413">
            <v>95280</v>
          </cell>
          <cell r="J413">
            <v>9851.61</v>
          </cell>
        </row>
        <row r="414">
          <cell r="C414" t="str">
            <v>MO</v>
          </cell>
          <cell r="F414" t="str">
            <v>Other Public Authority</v>
          </cell>
          <cell r="G414" t="str">
            <v>GP-General Power</v>
          </cell>
          <cell r="H414">
            <v>0</v>
          </cell>
          <cell r="I414">
            <v>432302</v>
          </cell>
          <cell r="J414">
            <v>43467.28</v>
          </cell>
        </row>
        <row r="415">
          <cell r="C415" t="str">
            <v>MO</v>
          </cell>
          <cell r="F415" t="str">
            <v>Other Public Authority</v>
          </cell>
          <cell r="G415" t="str">
            <v>GP-General Power</v>
          </cell>
          <cell r="H415">
            <v>0</v>
          </cell>
          <cell r="I415">
            <v>41095</v>
          </cell>
          <cell r="J415">
            <v>6306.69</v>
          </cell>
        </row>
        <row r="416">
          <cell r="C416" t="str">
            <v>MO</v>
          </cell>
          <cell r="F416" t="str">
            <v>Other Public Authority</v>
          </cell>
          <cell r="G416" t="str">
            <v>GP-General Power</v>
          </cell>
          <cell r="H416">
            <v>0</v>
          </cell>
          <cell r="I416">
            <v>281169</v>
          </cell>
          <cell r="J416">
            <v>28109.59</v>
          </cell>
        </row>
        <row r="417">
          <cell r="C417" t="str">
            <v>MO</v>
          </cell>
          <cell r="F417" t="str">
            <v>Other Public Authority</v>
          </cell>
          <cell r="G417" t="str">
            <v>GP-General Power</v>
          </cell>
          <cell r="H417">
            <v>0</v>
          </cell>
          <cell r="I417">
            <v>206600</v>
          </cell>
          <cell r="J417">
            <v>21196.62</v>
          </cell>
        </row>
        <row r="418">
          <cell r="C418" t="str">
            <v>MO</v>
          </cell>
          <cell r="F418" t="str">
            <v>Other Public Authority</v>
          </cell>
          <cell r="G418" t="str">
            <v>GP-General Power</v>
          </cell>
          <cell r="H418">
            <v>0</v>
          </cell>
          <cell r="I418">
            <v>1243422</v>
          </cell>
          <cell r="J418">
            <v>120593.79</v>
          </cell>
        </row>
        <row r="419">
          <cell r="C419" t="str">
            <v>MO</v>
          </cell>
          <cell r="F419" t="str">
            <v>Other Public Authority</v>
          </cell>
          <cell r="G419" t="str">
            <v>GP-General Power</v>
          </cell>
          <cell r="H419">
            <v>0</v>
          </cell>
          <cell r="I419">
            <v>474680</v>
          </cell>
          <cell r="J419">
            <v>45447.4</v>
          </cell>
        </row>
        <row r="420">
          <cell r="C420" t="str">
            <v>MO</v>
          </cell>
          <cell r="F420" t="str">
            <v>Other Public Authority</v>
          </cell>
          <cell r="G420" t="str">
            <v>GP-General Power</v>
          </cell>
          <cell r="H420">
            <v>0</v>
          </cell>
          <cell r="I420">
            <v>726458</v>
          </cell>
          <cell r="J420">
            <v>64663.71</v>
          </cell>
        </row>
        <row r="421">
          <cell r="C421" t="str">
            <v>MO</v>
          </cell>
          <cell r="F421" t="str">
            <v>Other Public Authority</v>
          </cell>
          <cell r="G421" t="str">
            <v>GP-General Power</v>
          </cell>
          <cell r="H421">
            <v>0</v>
          </cell>
          <cell r="I421">
            <v>35960</v>
          </cell>
          <cell r="J421">
            <v>4485.78</v>
          </cell>
        </row>
        <row r="422">
          <cell r="C422" t="str">
            <v>MO</v>
          </cell>
          <cell r="F422" t="str">
            <v>Other Public Authority</v>
          </cell>
          <cell r="G422" t="str">
            <v>GP-General Power</v>
          </cell>
          <cell r="H422">
            <v>0</v>
          </cell>
          <cell r="I422">
            <v>681691</v>
          </cell>
          <cell r="J422">
            <v>63142.38</v>
          </cell>
        </row>
        <row r="423">
          <cell r="C423" t="str">
            <v>MO</v>
          </cell>
          <cell r="F423" t="str">
            <v>Other Public Authority</v>
          </cell>
          <cell r="G423" t="str">
            <v>GP-General Power</v>
          </cell>
          <cell r="H423">
            <v>0</v>
          </cell>
          <cell r="I423">
            <v>139120</v>
          </cell>
          <cell r="J423">
            <v>13798.25</v>
          </cell>
        </row>
        <row r="424">
          <cell r="C424" t="str">
            <v>MO</v>
          </cell>
          <cell r="F424" t="str">
            <v>Other Public Authority</v>
          </cell>
          <cell r="G424" t="str">
            <v>GP-General Power</v>
          </cell>
          <cell r="H424">
            <v>0</v>
          </cell>
          <cell r="I424">
            <v>614459</v>
          </cell>
          <cell r="J424">
            <v>62270.92</v>
          </cell>
        </row>
        <row r="425">
          <cell r="C425" t="str">
            <v>MO</v>
          </cell>
          <cell r="F425" t="str">
            <v>Other Public Authority</v>
          </cell>
          <cell r="G425" t="str">
            <v>GP-General Power</v>
          </cell>
          <cell r="H425">
            <v>0</v>
          </cell>
          <cell r="I425">
            <v>68160</v>
          </cell>
          <cell r="J425">
            <v>6792.79</v>
          </cell>
        </row>
        <row r="426">
          <cell r="C426" t="str">
            <v>MO</v>
          </cell>
          <cell r="F426" t="str">
            <v>Other Public Authority</v>
          </cell>
          <cell r="G426" t="str">
            <v>GP-General Power</v>
          </cell>
          <cell r="H426">
            <v>0</v>
          </cell>
          <cell r="I426">
            <v>44798</v>
          </cell>
          <cell r="J426">
            <v>6217.52</v>
          </cell>
        </row>
        <row r="427">
          <cell r="C427" t="str">
            <v>MO</v>
          </cell>
          <cell r="F427" t="str">
            <v>Other Public Authority</v>
          </cell>
          <cell r="G427" t="str">
            <v>GP-General Power</v>
          </cell>
          <cell r="H427">
            <v>0</v>
          </cell>
          <cell r="I427">
            <v>59560</v>
          </cell>
          <cell r="J427">
            <v>6603.52</v>
          </cell>
        </row>
        <row r="428">
          <cell r="C428" t="str">
            <v>MO</v>
          </cell>
          <cell r="F428" t="str">
            <v>Other Public Authority</v>
          </cell>
          <cell r="G428" t="str">
            <v>GP-General Power</v>
          </cell>
          <cell r="H428">
            <v>0</v>
          </cell>
          <cell r="I428">
            <v>321031</v>
          </cell>
          <cell r="J428">
            <v>37475.96</v>
          </cell>
        </row>
        <row r="429">
          <cell r="C429" t="str">
            <v>MO</v>
          </cell>
          <cell r="F429" t="str">
            <v>Other Public Authority</v>
          </cell>
          <cell r="G429" t="str">
            <v>GP-General Power Total</v>
          </cell>
          <cell r="H429">
            <v>163</v>
          </cell>
          <cell r="I429">
            <v>5465785</v>
          </cell>
          <cell r="J429">
            <v>540423.81000000006</v>
          </cell>
        </row>
        <row r="430">
          <cell r="C430" t="str">
            <v>MO</v>
          </cell>
          <cell r="F430" t="str">
            <v>Other Public Authority</v>
          </cell>
          <cell r="G430" t="str">
            <v>LS-Special Lighting</v>
          </cell>
          <cell r="H430">
            <v>0</v>
          </cell>
          <cell r="I430">
            <v>1779</v>
          </cell>
          <cell r="J430">
            <v>281.25</v>
          </cell>
        </row>
        <row r="431">
          <cell r="C431" t="str">
            <v>MO</v>
          </cell>
          <cell r="F431" t="str">
            <v>Other Public Authority</v>
          </cell>
          <cell r="G431" t="str">
            <v>LS-Special Lighting Total</v>
          </cell>
          <cell r="H431">
            <v>1</v>
          </cell>
          <cell r="I431">
            <v>1779</v>
          </cell>
          <cell r="J431">
            <v>281.25</v>
          </cell>
        </row>
        <row r="432">
          <cell r="C432" t="str">
            <v>MO</v>
          </cell>
          <cell r="F432" t="str">
            <v>Other Public Authority</v>
          </cell>
          <cell r="G432" t="str">
            <v>NM-Net Metering</v>
          </cell>
          <cell r="H432">
            <v>0</v>
          </cell>
          <cell r="I432">
            <v>-200</v>
          </cell>
          <cell r="J432">
            <v>-7.1</v>
          </cell>
        </row>
        <row r="433">
          <cell r="C433" t="str">
            <v>MO</v>
          </cell>
          <cell r="F433" t="str">
            <v>Other Public Authority</v>
          </cell>
          <cell r="G433" t="str">
            <v>NM-Net Metering Total</v>
          </cell>
          <cell r="H433">
            <v>0</v>
          </cell>
          <cell r="I433">
            <v>-200</v>
          </cell>
          <cell r="J433">
            <v>-7.1</v>
          </cell>
        </row>
        <row r="434">
          <cell r="C434" t="str">
            <v>MO</v>
          </cell>
          <cell r="F434" t="str">
            <v>Other Public Authority</v>
          </cell>
          <cell r="G434" t="str">
            <v>PL-Private Lighting</v>
          </cell>
          <cell r="H434">
            <v>0</v>
          </cell>
          <cell r="I434">
            <v>58</v>
          </cell>
          <cell r="J434">
            <v>21.22</v>
          </cell>
        </row>
        <row r="435">
          <cell r="C435" t="str">
            <v>MO</v>
          </cell>
          <cell r="F435" t="str">
            <v>Other Public Authority</v>
          </cell>
          <cell r="G435" t="str">
            <v>PL-Private Lighting</v>
          </cell>
          <cell r="H435">
            <v>0</v>
          </cell>
          <cell r="I435">
            <v>540</v>
          </cell>
          <cell r="J435">
            <v>185.16</v>
          </cell>
        </row>
        <row r="436">
          <cell r="C436" t="str">
            <v>MO</v>
          </cell>
          <cell r="F436" t="str">
            <v>Other Public Authority</v>
          </cell>
          <cell r="G436" t="str">
            <v>PL-Private Lighting</v>
          </cell>
          <cell r="H436">
            <v>0</v>
          </cell>
          <cell r="I436">
            <v>424</v>
          </cell>
          <cell r="J436">
            <v>146.83000000000001</v>
          </cell>
        </row>
        <row r="437">
          <cell r="C437" t="str">
            <v>MO</v>
          </cell>
          <cell r="F437" t="str">
            <v>Other Public Authority</v>
          </cell>
          <cell r="G437" t="str">
            <v>PL-Private Lighting</v>
          </cell>
          <cell r="H437">
            <v>0</v>
          </cell>
          <cell r="I437">
            <v>31</v>
          </cell>
          <cell r="J437">
            <v>14.58</v>
          </cell>
        </row>
        <row r="438">
          <cell r="C438" t="str">
            <v>MO</v>
          </cell>
          <cell r="F438" t="str">
            <v>Other Public Authority</v>
          </cell>
          <cell r="G438" t="str">
            <v>PL-Private Lighting Total</v>
          </cell>
          <cell r="H438">
            <v>0</v>
          </cell>
          <cell r="I438">
            <v>1053</v>
          </cell>
          <cell r="J438">
            <v>367.79</v>
          </cell>
        </row>
        <row r="439">
          <cell r="C439" t="str">
            <v>MO</v>
          </cell>
          <cell r="F439" t="str">
            <v>Other Public Authority</v>
          </cell>
          <cell r="G439" t="str">
            <v>SH-Small Heating</v>
          </cell>
          <cell r="H439">
            <v>0</v>
          </cell>
          <cell r="I439">
            <v>3565</v>
          </cell>
          <cell r="J439">
            <v>433.76</v>
          </cell>
        </row>
        <row r="440">
          <cell r="C440" t="str">
            <v>MO</v>
          </cell>
          <cell r="F440" t="str">
            <v>Other Public Authority</v>
          </cell>
          <cell r="G440" t="str">
            <v>SH-Small Heating</v>
          </cell>
          <cell r="H440">
            <v>0</v>
          </cell>
          <cell r="I440">
            <v>30200</v>
          </cell>
          <cell r="J440">
            <v>3655.82</v>
          </cell>
        </row>
        <row r="441">
          <cell r="C441" t="str">
            <v>MO</v>
          </cell>
          <cell r="F441" t="str">
            <v>Other Public Authority</v>
          </cell>
          <cell r="G441" t="str">
            <v>SH-Small Heating</v>
          </cell>
          <cell r="H441">
            <v>0</v>
          </cell>
          <cell r="I441">
            <v>41460</v>
          </cell>
          <cell r="J441">
            <v>4418.43</v>
          </cell>
        </row>
        <row r="442">
          <cell r="C442" t="str">
            <v>MO</v>
          </cell>
          <cell r="F442" t="str">
            <v>Other Public Authority</v>
          </cell>
          <cell r="G442" t="str">
            <v>SH-Small Heating</v>
          </cell>
          <cell r="H442">
            <v>0</v>
          </cell>
          <cell r="I442">
            <v>3962</v>
          </cell>
          <cell r="J442">
            <v>532.14</v>
          </cell>
        </row>
        <row r="443">
          <cell r="C443" t="str">
            <v>MO</v>
          </cell>
          <cell r="F443" t="str">
            <v>Other Public Authority</v>
          </cell>
          <cell r="G443" t="str">
            <v>SH-Small Heating</v>
          </cell>
          <cell r="H443">
            <v>0</v>
          </cell>
          <cell r="I443">
            <v>10039</v>
          </cell>
          <cell r="J443">
            <v>1091.73</v>
          </cell>
        </row>
        <row r="444">
          <cell r="C444" t="str">
            <v>MO</v>
          </cell>
          <cell r="F444" t="str">
            <v>Other Public Authority</v>
          </cell>
          <cell r="G444" t="str">
            <v>SH-Small Heating</v>
          </cell>
          <cell r="H444">
            <v>0</v>
          </cell>
          <cell r="I444">
            <v>16244</v>
          </cell>
          <cell r="J444">
            <v>1786.45</v>
          </cell>
        </row>
        <row r="445">
          <cell r="C445" t="str">
            <v>MO</v>
          </cell>
          <cell r="F445" t="str">
            <v>Other Public Authority</v>
          </cell>
          <cell r="G445" t="str">
            <v>SH-Small Heating</v>
          </cell>
          <cell r="H445">
            <v>0</v>
          </cell>
          <cell r="I445">
            <v>9920</v>
          </cell>
          <cell r="J445">
            <v>1044.8699999999999</v>
          </cell>
        </row>
        <row r="446">
          <cell r="C446" t="str">
            <v>MO</v>
          </cell>
          <cell r="F446" t="str">
            <v>Other Public Authority</v>
          </cell>
          <cell r="G446" t="str">
            <v>SH-Small Heating Total</v>
          </cell>
          <cell r="H446">
            <v>45</v>
          </cell>
          <cell r="I446">
            <v>115390</v>
          </cell>
          <cell r="J446">
            <v>12963.2</v>
          </cell>
        </row>
        <row r="447">
          <cell r="C447" t="str">
            <v>MO</v>
          </cell>
          <cell r="F447" t="str">
            <v>Other Public Authority</v>
          </cell>
          <cell r="G447" t="str">
            <v>TEB-Total Electric Bldg</v>
          </cell>
          <cell r="H447">
            <v>0</v>
          </cell>
          <cell r="I447">
            <v>22800</v>
          </cell>
          <cell r="J447">
            <v>2135.87</v>
          </cell>
        </row>
        <row r="448">
          <cell r="C448" t="str">
            <v>MO</v>
          </cell>
          <cell r="F448" t="str">
            <v>Other Public Authority</v>
          </cell>
          <cell r="G448" t="str">
            <v>TEB-Total Electric Bldg</v>
          </cell>
          <cell r="H448">
            <v>0</v>
          </cell>
          <cell r="I448">
            <v>9478</v>
          </cell>
          <cell r="J448">
            <v>997.18</v>
          </cell>
        </row>
        <row r="449">
          <cell r="C449" t="str">
            <v>MO</v>
          </cell>
          <cell r="F449" t="str">
            <v>Other Public Authority</v>
          </cell>
          <cell r="G449" t="str">
            <v>TEB-Total Electric Bldg</v>
          </cell>
          <cell r="H449">
            <v>0</v>
          </cell>
          <cell r="I449">
            <v>347800</v>
          </cell>
          <cell r="J449">
            <v>38490.03</v>
          </cell>
        </row>
        <row r="450">
          <cell r="C450" t="str">
            <v>MO</v>
          </cell>
          <cell r="F450" t="str">
            <v>Other Public Authority</v>
          </cell>
          <cell r="G450" t="str">
            <v>TEB-Total Electric Bldg</v>
          </cell>
          <cell r="H450">
            <v>0</v>
          </cell>
          <cell r="I450">
            <v>90600</v>
          </cell>
          <cell r="J450">
            <v>9596.56</v>
          </cell>
        </row>
        <row r="451">
          <cell r="C451" t="str">
            <v>MO</v>
          </cell>
          <cell r="F451" t="str">
            <v>Other Public Authority</v>
          </cell>
          <cell r="G451" t="str">
            <v>TEB-Total Electric Bldg</v>
          </cell>
          <cell r="H451">
            <v>0</v>
          </cell>
          <cell r="I451">
            <v>17920</v>
          </cell>
          <cell r="J451">
            <v>2222.2399999999998</v>
          </cell>
        </row>
        <row r="452">
          <cell r="C452" t="str">
            <v>MO</v>
          </cell>
          <cell r="F452" t="str">
            <v>Other Public Authority</v>
          </cell>
          <cell r="G452" t="str">
            <v>TEB-Total Electric Bldg</v>
          </cell>
          <cell r="H452">
            <v>0</v>
          </cell>
          <cell r="I452">
            <v>46465</v>
          </cell>
          <cell r="J452">
            <v>4329.38</v>
          </cell>
        </row>
        <row r="453">
          <cell r="C453" t="str">
            <v>MO</v>
          </cell>
          <cell r="F453" t="str">
            <v>Other Public Authority</v>
          </cell>
          <cell r="G453" t="str">
            <v>TEB-Total Electric Bldg</v>
          </cell>
          <cell r="H453">
            <v>0</v>
          </cell>
          <cell r="I453">
            <v>13840</v>
          </cell>
          <cell r="J453">
            <v>2078.98</v>
          </cell>
        </row>
        <row r="454">
          <cell r="C454" t="str">
            <v>MO</v>
          </cell>
          <cell r="F454" t="str">
            <v>Other Public Authority</v>
          </cell>
          <cell r="G454" t="str">
            <v>TEB-Total Electric Bldg Total</v>
          </cell>
          <cell r="H454">
            <v>19</v>
          </cell>
          <cell r="I454">
            <v>548903</v>
          </cell>
          <cell r="J454">
            <v>59850.239999999998</v>
          </cell>
        </row>
        <row r="455">
          <cell r="C455" t="str">
            <v>MO</v>
          </cell>
          <cell r="F455" t="str">
            <v>Other Public Authority Total</v>
          </cell>
          <cell r="G455">
            <v>0</v>
          </cell>
          <cell r="H455">
            <v>1315</v>
          </cell>
          <cell r="I455">
            <v>7415878</v>
          </cell>
          <cell r="J455">
            <v>795456.34000000008</v>
          </cell>
        </row>
        <row r="456">
          <cell r="C456" t="str">
            <v>MO</v>
          </cell>
          <cell r="F456" t="str">
            <v>Interdepartmental</v>
          </cell>
          <cell r="G456" t="str">
            <v>CB-Commercial</v>
          </cell>
          <cell r="H456">
            <v>0</v>
          </cell>
          <cell r="I456">
            <v>22946</v>
          </cell>
          <cell r="J456">
            <v>2955.47</v>
          </cell>
        </row>
        <row r="457">
          <cell r="C457" t="str">
            <v>MO</v>
          </cell>
          <cell r="F457" t="str">
            <v>Interdepartmental</v>
          </cell>
          <cell r="G457" t="str">
            <v>CB-Commercial</v>
          </cell>
          <cell r="H457">
            <v>0</v>
          </cell>
          <cell r="I457">
            <v>8926</v>
          </cell>
          <cell r="J457">
            <v>1175.3599999999999</v>
          </cell>
        </row>
        <row r="458">
          <cell r="C458" t="str">
            <v>MO</v>
          </cell>
          <cell r="F458" t="str">
            <v>Interdepartmental</v>
          </cell>
          <cell r="G458" t="str">
            <v>CB-Commercial</v>
          </cell>
          <cell r="H458">
            <v>0</v>
          </cell>
          <cell r="I458">
            <v>2313</v>
          </cell>
          <cell r="J458">
            <v>360.04</v>
          </cell>
        </row>
        <row r="459">
          <cell r="C459" t="str">
            <v>MO</v>
          </cell>
          <cell r="F459" t="str">
            <v>Interdepartmental</v>
          </cell>
          <cell r="G459" t="str">
            <v>CB-Commercial</v>
          </cell>
          <cell r="H459">
            <v>0</v>
          </cell>
          <cell r="I459">
            <v>53198</v>
          </cell>
          <cell r="J459">
            <v>6514.18</v>
          </cell>
        </row>
        <row r="460">
          <cell r="C460" t="str">
            <v>MO</v>
          </cell>
          <cell r="F460" t="str">
            <v>Interdepartmental</v>
          </cell>
          <cell r="G460" t="str">
            <v>CB-Commercial</v>
          </cell>
          <cell r="H460">
            <v>0</v>
          </cell>
          <cell r="I460">
            <v>3299</v>
          </cell>
          <cell r="J460">
            <v>516</v>
          </cell>
        </row>
        <row r="461">
          <cell r="C461" t="str">
            <v>MO</v>
          </cell>
          <cell r="F461" t="str">
            <v>Interdepartmental</v>
          </cell>
          <cell r="G461" t="str">
            <v>CB-Commercial</v>
          </cell>
          <cell r="H461">
            <v>0</v>
          </cell>
          <cell r="I461">
            <v>3082</v>
          </cell>
          <cell r="J461">
            <v>450.99</v>
          </cell>
        </row>
        <row r="462">
          <cell r="C462" t="str">
            <v>MO</v>
          </cell>
          <cell r="F462" t="str">
            <v>Interdepartmental</v>
          </cell>
          <cell r="G462" t="str">
            <v>CB-Commercial</v>
          </cell>
          <cell r="H462">
            <v>0</v>
          </cell>
          <cell r="I462">
            <v>5833</v>
          </cell>
          <cell r="J462">
            <v>804.15</v>
          </cell>
        </row>
        <row r="463">
          <cell r="C463" t="str">
            <v>MO</v>
          </cell>
          <cell r="F463" t="str">
            <v>Interdepartmental</v>
          </cell>
          <cell r="G463" t="str">
            <v>CB-Commercial Total</v>
          </cell>
          <cell r="H463">
            <v>33</v>
          </cell>
          <cell r="I463">
            <v>99597</v>
          </cell>
          <cell r="J463">
            <v>12776.189999999999</v>
          </cell>
        </row>
        <row r="464">
          <cell r="C464" t="str">
            <v>MO</v>
          </cell>
          <cell r="F464" t="str">
            <v>Interdepartmental</v>
          </cell>
          <cell r="G464" t="str">
            <v>GP-General Power</v>
          </cell>
          <cell r="H464">
            <v>0</v>
          </cell>
          <cell r="I464">
            <v>101467</v>
          </cell>
          <cell r="J464">
            <v>9284.7000000000007</v>
          </cell>
        </row>
        <row r="465">
          <cell r="C465" t="str">
            <v>MO</v>
          </cell>
          <cell r="F465" t="str">
            <v>Interdepartmental</v>
          </cell>
          <cell r="G465" t="str">
            <v>GP-General Power Total</v>
          </cell>
          <cell r="H465">
            <v>4</v>
          </cell>
          <cell r="I465">
            <v>101467</v>
          </cell>
          <cell r="J465">
            <v>9284.7000000000007</v>
          </cell>
        </row>
        <row r="466">
          <cell r="C466" t="str">
            <v>MO</v>
          </cell>
          <cell r="F466" t="str">
            <v>Interdepartmental</v>
          </cell>
          <cell r="G466" t="str">
            <v>PL-Private Lighting</v>
          </cell>
          <cell r="H466">
            <v>0</v>
          </cell>
          <cell r="I466">
            <v>195</v>
          </cell>
          <cell r="J466">
            <v>47.37</v>
          </cell>
        </row>
        <row r="467">
          <cell r="C467" t="str">
            <v>MO</v>
          </cell>
          <cell r="F467" t="str">
            <v>Interdepartmental</v>
          </cell>
          <cell r="G467" t="str">
            <v>PL-Private Lighting</v>
          </cell>
          <cell r="H467">
            <v>0</v>
          </cell>
          <cell r="I467">
            <v>106</v>
          </cell>
          <cell r="J467">
            <v>30.67</v>
          </cell>
        </row>
        <row r="468">
          <cell r="C468" t="str">
            <v>MO</v>
          </cell>
          <cell r="F468" t="str">
            <v>Interdepartmental</v>
          </cell>
          <cell r="G468" t="str">
            <v>PL-Private Lighting</v>
          </cell>
          <cell r="H468">
            <v>0</v>
          </cell>
          <cell r="I468">
            <v>58</v>
          </cell>
          <cell r="J468">
            <v>21.22</v>
          </cell>
        </row>
        <row r="469">
          <cell r="C469" t="str">
            <v>MO</v>
          </cell>
          <cell r="F469" t="str">
            <v>Interdepartmental</v>
          </cell>
          <cell r="G469" t="str">
            <v>PL-Private Lighting Total</v>
          </cell>
          <cell r="H469">
            <v>0</v>
          </cell>
          <cell r="I469">
            <v>359</v>
          </cell>
          <cell r="J469">
            <v>99.259999999999991</v>
          </cell>
        </row>
        <row r="470">
          <cell r="C470" t="str">
            <v>MO</v>
          </cell>
          <cell r="F470" t="str">
            <v>Interdepartmental Total</v>
          </cell>
          <cell r="G470">
            <v>0</v>
          </cell>
          <cell r="H470">
            <v>37</v>
          </cell>
          <cell r="I470">
            <v>201423</v>
          </cell>
          <cell r="J470">
            <v>22160.149999999998</v>
          </cell>
        </row>
        <row r="471">
          <cell r="C471" t="str">
            <v>MO Total Retail</v>
          </cell>
          <cell r="F471">
            <v>0</v>
          </cell>
          <cell r="G471">
            <v>0</v>
          </cell>
          <cell r="H471">
            <v>152521</v>
          </cell>
          <cell r="I471">
            <v>328213873</v>
          </cell>
          <cell r="J471">
            <v>36423328.039999999</v>
          </cell>
        </row>
        <row r="472">
          <cell r="C472" t="str">
            <v>MO</v>
          </cell>
          <cell r="F472" t="str">
            <v>Wholesale Municipalities</v>
          </cell>
          <cell r="G472" t="str">
            <v>GFR-Lockwood</v>
          </cell>
          <cell r="H472">
            <v>0</v>
          </cell>
          <cell r="I472">
            <v>991675</v>
          </cell>
          <cell r="J472">
            <v>37517</v>
          </cell>
        </row>
        <row r="473">
          <cell r="C473" t="str">
            <v>MO</v>
          </cell>
          <cell r="F473" t="str">
            <v>lockwood total</v>
          </cell>
          <cell r="G473" t="str">
            <v>GFR-Lockwood Total</v>
          </cell>
          <cell r="H473">
            <v>1</v>
          </cell>
          <cell r="I473">
            <v>991675</v>
          </cell>
          <cell r="J473">
            <v>37517</v>
          </cell>
        </row>
        <row r="474">
          <cell r="C474" t="str">
            <v>MO</v>
          </cell>
          <cell r="F474" t="str">
            <v>Wholesale Municipalities</v>
          </cell>
          <cell r="G474" t="str">
            <v>GFR-Monett</v>
          </cell>
          <cell r="H474">
            <v>0</v>
          </cell>
          <cell r="I474">
            <v>19464695</v>
          </cell>
          <cell r="J474">
            <v>724188.72</v>
          </cell>
        </row>
        <row r="475">
          <cell r="C475" t="str">
            <v>MO</v>
          </cell>
          <cell r="F475" t="str">
            <v>monett total</v>
          </cell>
          <cell r="G475" t="str">
            <v>GFR-Monett Total</v>
          </cell>
          <cell r="H475">
            <v>1</v>
          </cell>
          <cell r="I475">
            <v>19464695</v>
          </cell>
          <cell r="J475">
            <v>724188.72</v>
          </cell>
        </row>
        <row r="476">
          <cell r="C476" t="str">
            <v>MO</v>
          </cell>
          <cell r="F476" t="str">
            <v>Wholesale Municipalities</v>
          </cell>
          <cell r="G476" t="str">
            <v>GFR-Mt Vernon</v>
          </cell>
          <cell r="H476">
            <v>0</v>
          </cell>
          <cell r="I476">
            <v>-28707989</v>
          </cell>
          <cell r="J476">
            <v>192419.64</v>
          </cell>
        </row>
        <row r="477">
          <cell r="C477" t="str">
            <v>MO</v>
          </cell>
          <cell r="F477" t="str">
            <v>Wholesale Municipalities</v>
          </cell>
          <cell r="G477" t="str">
            <v>GFR-Mt Vernon</v>
          </cell>
          <cell r="H477">
            <v>0</v>
          </cell>
          <cell r="I477">
            <v>34790013</v>
          </cell>
          <cell r="J477">
            <v>46966.48</v>
          </cell>
        </row>
        <row r="478">
          <cell r="C478" t="str">
            <v>MO</v>
          </cell>
          <cell r="F478" t="str">
            <v>mt vernon total</v>
          </cell>
          <cell r="G478" t="str">
            <v>GFR-Mt Vernon Total</v>
          </cell>
          <cell r="H478">
            <v>1</v>
          </cell>
          <cell r="I478">
            <v>6082024</v>
          </cell>
          <cell r="J478">
            <v>239386.12000000002</v>
          </cell>
        </row>
        <row r="479">
          <cell r="C479" t="str">
            <v>MO</v>
          </cell>
          <cell r="F479" t="str">
            <v>Wholesale Municipalities Total</v>
          </cell>
          <cell r="G479">
            <v>0</v>
          </cell>
          <cell r="H479">
            <v>3</v>
          </cell>
          <cell r="I479">
            <v>26538394</v>
          </cell>
          <cell r="J479">
            <v>1001091.84</v>
          </cell>
        </row>
        <row r="480">
          <cell r="C480" t="str">
            <v>MO Total</v>
          </cell>
          <cell r="F480">
            <v>0</v>
          </cell>
          <cell r="G480">
            <v>0</v>
          </cell>
          <cell r="H480">
            <v>152524</v>
          </cell>
          <cell r="I480">
            <v>354752267</v>
          </cell>
          <cell r="J480">
            <v>37424419.880000003</v>
          </cell>
        </row>
        <row r="481">
          <cell r="C481" t="str">
            <v>Oklahoma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C482" t="str">
            <v>St</v>
          </cell>
          <cell r="F482" t="str">
            <v>Revenue Class</v>
          </cell>
          <cell r="G482" t="str">
            <v>Pricing Plan</v>
          </cell>
          <cell r="H482" t="str">
            <v>Customers</v>
          </cell>
          <cell r="I482" t="str">
            <v>KWH</v>
          </cell>
          <cell r="J482" t="str">
            <v>Usage</v>
          </cell>
        </row>
        <row r="483">
          <cell r="C483" t="str">
            <v>OK</v>
          </cell>
          <cell r="F483" t="str">
            <v>Residential</v>
          </cell>
          <cell r="G483" t="str">
            <v>PL-Private Lighting</v>
          </cell>
          <cell r="H483">
            <v>0</v>
          </cell>
          <cell r="I483">
            <v>33900</v>
          </cell>
          <cell r="J483">
            <v>8258.2999999999993</v>
          </cell>
        </row>
        <row r="484">
          <cell r="C484" t="str">
            <v>OK</v>
          </cell>
          <cell r="F484" t="str">
            <v>Residential</v>
          </cell>
          <cell r="G484" t="str">
            <v>PL-Private Lighting</v>
          </cell>
          <cell r="H484">
            <v>0</v>
          </cell>
          <cell r="I484">
            <v>31</v>
          </cell>
          <cell r="J484">
            <v>9.44</v>
          </cell>
        </row>
        <row r="485">
          <cell r="C485" t="str">
            <v>OK</v>
          </cell>
          <cell r="F485" t="str">
            <v>Residential</v>
          </cell>
          <cell r="G485" t="str">
            <v>PL-Private Lighting</v>
          </cell>
          <cell r="H485">
            <v>0</v>
          </cell>
          <cell r="I485">
            <v>130</v>
          </cell>
          <cell r="J485">
            <v>20.9</v>
          </cell>
        </row>
        <row r="486">
          <cell r="C486" t="str">
            <v>OK</v>
          </cell>
          <cell r="F486" t="str">
            <v>Residential</v>
          </cell>
          <cell r="G486" t="str">
            <v>PL-Private Lighting Total</v>
          </cell>
          <cell r="H486">
            <v>10</v>
          </cell>
          <cell r="I486">
            <v>34061</v>
          </cell>
          <cell r="J486">
            <v>8288.64</v>
          </cell>
        </row>
        <row r="487">
          <cell r="C487" t="str">
            <v>OK</v>
          </cell>
          <cell r="F487" t="str">
            <v>Residential</v>
          </cell>
          <cell r="G487" t="str">
            <v>RG-Residential</v>
          </cell>
          <cell r="H487">
            <v>0</v>
          </cell>
          <cell r="I487">
            <v>2585084</v>
          </cell>
          <cell r="J487">
            <v>170682.33</v>
          </cell>
        </row>
        <row r="488">
          <cell r="C488" t="str">
            <v>OK</v>
          </cell>
          <cell r="F488" t="str">
            <v>Residential</v>
          </cell>
          <cell r="G488" t="str">
            <v>RG-Residential</v>
          </cell>
          <cell r="H488">
            <v>0</v>
          </cell>
          <cell r="I488">
            <v>7891</v>
          </cell>
          <cell r="J488">
            <v>516.4</v>
          </cell>
        </row>
        <row r="489">
          <cell r="C489" t="str">
            <v>OK</v>
          </cell>
          <cell r="F489" t="str">
            <v>Residential</v>
          </cell>
          <cell r="G489" t="str">
            <v>RG-Residential</v>
          </cell>
          <cell r="H489">
            <v>0</v>
          </cell>
          <cell r="I489">
            <v>6170</v>
          </cell>
          <cell r="J489">
            <v>409.42</v>
          </cell>
        </row>
        <row r="490">
          <cell r="C490" t="str">
            <v>OK</v>
          </cell>
          <cell r="F490" t="str">
            <v>Residential</v>
          </cell>
          <cell r="G490" t="str">
            <v>RG-Residential Total</v>
          </cell>
          <cell r="H490">
            <v>2860</v>
          </cell>
          <cell r="I490">
            <v>2599145</v>
          </cell>
          <cell r="J490">
            <v>171608.15</v>
          </cell>
        </row>
        <row r="491">
          <cell r="C491" t="str">
            <v>OK</v>
          </cell>
          <cell r="F491" t="str">
            <v>Residential</v>
          </cell>
          <cell r="G491" t="str">
            <v>RH-Residential Total Elec</v>
          </cell>
          <cell r="H491">
            <v>0</v>
          </cell>
          <cell r="I491">
            <v>1432362</v>
          </cell>
          <cell r="J491">
            <v>69482.77</v>
          </cell>
        </row>
        <row r="492">
          <cell r="C492" t="str">
            <v>OK</v>
          </cell>
          <cell r="F492" t="str">
            <v>Residential</v>
          </cell>
          <cell r="G492" t="str">
            <v>RH-Residential Total Elec</v>
          </cell>
          <cell r="H492">
            <v>0</v>
          </cell>
          <cell r="I492">
            <v>1877</v>
          </cell>
          <cell r="J492">
            <v>88.99</v>
          </cell>
        </row>
        <row r="493">
          <cell r="C493" t="str">
            <v>OK</v>
          </cell>
          <cell r="F493" t="str">
            <v>Residential</v>
          </cell>
          <cell r="G493" t="str">
            <v>RH-Residential Total Elec Total</v>
          </cell>
          <cell r="H493">
            <v>902</v>
          </cell>
          <cell r="I493">
            <v>1434239</v>
          </cell>
          <cell r="J493">
            <v>69571.760000000009</v>
          </cell>
        </row>
        <row r="494">
          <cell r="C494" t="str">
            <v>OK</v>
          </cell>
          <cell r="F494" t="str">
            <v>Residential Total</v>
          </cell>
          <cell r="G494">
            <v>0</v>
          </cell>
          <cell r="H494">
            <v>3772</v>
          </cell>
          <cell r="I494">
            <v>4067445</v>
          </cell>
          <cell r="J494">
            <v>249468.55</v>
          </cell>
        </row>
        <row r="495">
          <cell r="C495" t="str">
            <v>OK</v>
          </cell>
          <cell r="F495" t="str">
            <v>Commercial</v>
          </cell>
          <cell r="G495" t="str">
            <v>CB-Commercial</v>
          </cell>
          <cell r="H495">
            <v>0</v>
          </cell>
          <cell r="I495">
            <v>899145</v>
          </cell>
          <cell r="J495">
            <v>78814.52</v>
          </cell>
        </row>
        <row r="496">
          <cell r="C496" t="str">
            <v>OK</v>
          </cell>
          <cell r="F496" t="str">
            <v>Commercial</v>
          </cell>
          <cell r="G496" t="str">
            <v>CB-Commercial</v>
          </cell>
          <cell r="H496">
            <v>0</v>
          </cell>
          <cell r="I496">
            <v>790</v>
          </cell>
          <cell r="J496">
            <v>95.48</v>
          </cell>
        </row>
        <row r="497">
          <cell r="C497" t="str">
            <v>OK</v>
          </cell>
          <cell r="F497" t="str">
            <v>Commercial</v>
          </cell>
          <cell r="G497" t="str">
            <v>CB-Commercial</v>
          </cell>
          <cell r="H497">
            <v>0</v>
          </cell>
          <cell r="I497">
            <v>5339</v>
          </cell>
          <cell r="J497">
            <v>436.51</v>
          </cell>
        </row>
        <row r="498">
          <cell r="C498" t="str">
            <v>OK</v>
          </cell>
          <cell r="F498" t="str">
            <v>Commercial</v>
          </cell>
          <cell r="G498" t="str">
            <v>CB-Commercial Total</v>
          </cell>
          <cell r="H498">
            <v>711</v>
          </cell>
          <cell r="I498">
            <v>905274</v>
          </cell>
          <cell r="J498">
            <v>79346.509999999995</v>
          </cell>
        </row>
        <row r="499">
          <cell r="C499" t="str">
            <v>OK</v>
          </cell>
          <cell r="F499" t="str">
            <v>Commercial</v>
          </cell>
          <cell r="G499" t="str">
            <v>GP-General Power</v>
          </cell>
          <cell r="H499">
            <v>0</v>
          </cell>
          <cell r="I499">
            <v>1354861</v>
          </cell>
          <cell r="J499">
            <v>77853.42</v>
          </cell>
        </row>
        <row r="500">
          <cell r="C500" t="str">
            <v>OK</v>
          </cell>
          <cell r="F500" t="str">
            <v>Commercial</v>
          </cell>
          <cell r="G500" t="str">
            <v>GP-General Power</v>
          </cell>
          <cell r="H500">
            <v>0</v>
          </cell>
          <cell r="I500">
            <v>270400</v>
          </cell>
          <cell r="J500">
            <v>11686.06</v>
          </cell>
        </row>
        <row r="501">
          <cell r="C501" t="str">
            <v>OK</v>
          </cell>
          <cell r="F501" t="str">
            <v>Commercial</v>
          </cell>
          <cell r="G501" t="str">
            <v>GP-General Power Total</v>
          </cell>
          <cell r="H501">
            <v>60</v>
          </cell>
          <cell r="I501">
            <v>1625261</v>
          </cell>
          <cell r="J501">
            <v>89539.48</v>
          </cell>
        </row>
        <row r="502">
          <cell r="C502" t="str">
            <v>OK</v>
          </cell>
          <cell r="F502" t="str">
            <v>Commercial</v>
          </cell>
          <cell r="G502" t="str">
            <v>LS-Special Lighting</v>
          </cell>
          <cell r="H502">
            <v>0</v>
          </cell>
          <cell r="I502">
            <v>1316</v>
          </cell>
          <cell r="J502">
            <v>231.76</v>
          </cell>
        </row>
        <row r="503">
          <cell r="C503" t="str">
            <v>OK</v>
          </cell>
          <cell r="F503" t="str">
            <v>Commercial</v>
          </cell>
          <cell r="G503" t="str">
            <v>LS-Special Lighting Total</v>
          </cell>
          <cell r="H503">
            <v>10</v>
          </cell>
          <cell r="I503">
            <v>1316</v>
          </cell>
          <cell r="J503">
            <v>231.76</v>
          </cell>
        </row>
        <row r="504">
          <cell r="C504" t="str">
            <v>OK</v>
          </cell>
          <cell r="F504" t="str">
            <v>Commercial</v>
          </cell>
          <cell r="G504" t="str">
            <v>NEB-Optional Net Billing</v>
          </cell>
          <cell r="H504">
            <v>0</v>
          </cell>
          <cell r="I504">
            <v>0</v>
          </cell>
          <cell r="J504">
            <v>0</v>
          </cell>
        </row>
        <row r="505">
          <cell r="C505" t="str">
            <v>OK</v>
          </cell>
          <cell r="F505" t="str">
            <v>Commercial</v>
          </cell>
          <cell r="G505" t="str">
            <v>NEB-Optional Net Billing Total</v>
          </cell>
          <cell r="H505">
            <v>1</v>
          </cell>
          <cell r="I505">
            <v>0</v>
          </cell>
          <cell r="J505">
            <v>0</v>
          </cell>
        </row>
        <row r="506">
          <cell r="C506" t="str">
            <v>OK</v>
          </cell>
          <cell r="F506" t="str">
            <v>Commercial</v>
          </cell>
          <cell r="G506" t="str">
            <v>PL-Private Lighting</v>
          </cell>
          <cell r="H506">
            <v>0</v>
          </cell>
          <cell r="I506">
            <v>39510</v>
          </cell>
          <cell r="J506">
            <v>8183.85</v>
          </cell>
        </row>
        <row r="507">
          <cell r="C507" t="str">
            <v>OK</v>
          </cell>
          <cell r="F507" t="str">
            <v>Commercial</v>
          </cell>
          <cell r="G507" t="str">
            <v>PL-Private Lighting</v>
          </cell>
          <cell r="H507">
            <v>0</v>
          </cell>
          <cell r="I507">
            <v>1436</v>
          </cell>
          <cell r="J507">
            <v>188.32</v>
          </cell>
        </row>
        <row r="508">
          <cell r="C508" t="str">
            <v>OK</v>
          </cell>
          <cell r="F508" t="str">
            <v>Commercial</v>
          </cell>
          <cell r="G508" t="str">
            <v>PL-Private Lighting Total</v>
          </cell>
          <cell r="H508">
            <v>9</v>
          </cell>
          <cell r="I508">
            <v>40946</v>
          </cell>
          <cell r="J508">
            <v>8372.17</v>
          </cell>
        </row>
        <row r="509">
          <cell r="C509" t="str">
            <v>OK</v>
          </cell>
          <cell r="F509" t="str">
            <v>Commercial</v>
          </cell>
          <cell r="G509" t="str">
            <v>PT-Transmission</v>
          </cell>
          <cell r="H509">
            <v>0</v>
          </cell>
          <cell r="I509">
            <v>1656000</v>
          </cell>
          <cell r="J509">
            <v>56036.22</v>
          </cell>
        </row>
        <row r="510">
          <cell r="C510" t="str">
            <v>OK</v>
          </cell>
          <cell r="F510" t="str">
            <v>Commercial</v>
          </cell>
          <cell r="G510" t="str">
            <v>PT-Transmission Total</v>
          </cell>
          <cell r="H510">
            <v>1</v>
          </cell>
          <cell r="I510">
            <v>1656000</v>
          </cell>
          <cell r="J510">
            <v>56036.22</v>
          </cell>
        </row>
        <row r="511">
          <cell r="C511" t="str">
            <v>OK</v>
          </cell>
          <cell r="F511" t="str">
            <v>Commercial</v>
          </cell>
          <cell r="G511" t="str">
            <v>TEB-Total Electric Bldg</v>
          </cell>
          <cell r="H511">
            <v>0</v>
          </cell>
          <cell r="I511">
            <v>270911</v>
          </cell>
          <cell r="J511">
            <v>14130.7</v>
          </cell>
        </row>
        <row r="512">
          <cell r="C512" t="str">
            <v>OK</v>
          </cell>
          <cell r="F512" t="str">
            <v>Commercial</v>
          </cell>
          <cell r="G512" t="str">
            <v>TEB-Total Electric Bldg Total</v>
          </cell>
          <cell r="H512">
            <v>29</v>
          </cell>
          <cell r="I512">
            <v>270911</v>
          </cell>
          <cell r="J512">
            <v>14130.7</v>
          </cell>
        </row>
        <row r="513">
          <cell r="C513" t="str">
            <v>OK</v>
          </cell>
          <cell r="F513" t="str">
            <v>Commercial Total</v>
          </cell>
          <cell r="G513">
            <v>0</v>
          </cell>
          <cell r="H513">
            <v>821</v>
          </cell>
          <cell r="I513">
            <v>4499708</v>
          </cell>
          <cell r="J513">
            <v>247656.84000000003</v>
          </cell>
        </row>
        <row r="514">
          <cell r="C514" t="str">
            <v>OK</v>
          </cell>
          <cell r="F514" t="str">
            <v>Industrial</v>
          </cell>
          <cell r="G514" t="str">
            <v>CB-Commercial</v>
          </cell>
          <cell r="H514">
            <v>0</v>
          </cell>
          <cell r="I514">
            <v>20</v>
          </cell>
          <cell r="J514">
            <v>27.6</v>
          </cell>
        </row>
        <row r="515">
          <cell r="C515" t="str">
            <v>OK</v>
          </cell>
          <cell r="F515" t="str">
            <v>Industrial</v>
          </cell>
          <cell r="G515" t="str">
            <v>CB-Commercial Total</v>
          </cell>
          <cell r="H515">
            <v>2</v>
          </cell>
          <cell r="I515">
            <v>20</v>
          </cell>
          <cell r="J515">
            <v>27.6</v>
          </cell>
        </row>
        <row r="516">
          <cell r="C516" t="str">
            <v>OK</v>
          </cell>
          <cell r="F516" t="str">
            <v>Industrial</v>
          </cell>
          <cell r="G516" t="str">
            <v>GP-General Power</v>
          </cell>
          <cell r="H516">
            <v>0</v>
          </cell>
          <cell r="I516">
            <v>283812</v>
          </cell>
          <cell r="J516">
            <v>15437.37</v>
          </cell>
        </row>
        <row r="517">
          <cell r="C517" t="str">
            <v>OK</v>
          </cell>
          <cell r="F517" t="str">
            <v>Industrial</v>
          </cell>
          <cell r="G517" t="str">
            <v>GP-General Power Total</v>
          </cell>
          <cell r="H517">
            <v>5</v>
          </cell>
          <cell r="I517">
            <v>283812</v>
          </cell>
          <cell r="J517">
            <v>15437.37</v>
          </cell>
        </row>
        <row r="518">
          <cell r="C518" t="str">
            <v>OK</v>
          </cell>
          <cell r="F518" t="str">
            <v>Industrial</v>
          </cell>
          <cell r="G518" t="str">
            <v>Oil Pipe PT-Transmission</v>
          </cell>
          <cell r="H518">
            <v>0</v>
          </cell>
          <cell r="I518">
            <v>396800</v>
          </cell>
          <cell r="J518">
            <v>18046.759999999998</v>
          </cell>
        </row>
        <row r="519">
          <cell r="C519" t="str">
            <v>OK</v>
          </cell>
          <cell r="F519" t="str">
            <v>oil pipeline total</v>
          </cell>
          <cell r="G519" t="str">
            <v>Oil Pipe PT-Transmission Total</v>
          </cell>
          <cell r="H519">
            <v>1</v>
          </cell>
          <cell r="I519">
            <v>396800</v>
          </cell>
          <cell r="J519">
            <v>18046.759999999998</v>
          </cell>
        </row>
        <row r="520">
          <cell r="C520" t="str">
            <v>OK</v>
          </cell>
          <cell r="F520" t="str">
            <v>Industrial</v>
          </cell>
          <cell r="G520" t="str">
            <v>PL-Private Lighting</v>
          </cell>
          <cell r="H520">
            <v>0</v>
          </cell>
          <cell r="I520">
            <v>2164</v>
          </cell>
          <cell r="J520">
            <v>521.9</v>
          </cell>
        </row>
        <row r="521">
          <cell r="C521" t="str">
            <v>OK</v>
          </cell>
          <cell r="F521" t="str">
            <v>Industrial</v>
          </cell>
          <cell r="G521" t="str">
            <v>PL-Private Lighting Total</v>
          </cell>
          <cell r="H521">
            <v>0</v>
          </cell>
          <cell r="I521">
            <v>2164</v>
          </cell>
          <cell r="J521">
            <v>521.9</v>
          </cell>
        </row>
        <row r="522">
          <cell r="C522" t="str">
            <v>OK</v>
          </cell>
          <cell r="F522" t="str">
            <v>Industrial</v>
          </cell>
          <cell r="G522" t="str">
            <v>PT-Transmission</v>
          </cell>
          <cell r="H522">
            <v>0</v>
          </cell>
          <cell r="I522">
            <v>2113555</v>
          </cell>
          <cell r="J522">
            <v>84976.37</v>
          </cell>
        </row>
        <row r="523">
          <cell r="C523" t="str">
            <v>OK</v>
          </cell>
          <cell r="F523" t="str">
            <v>Industrial</v>
          </cell>
          <cell r="G523" t="str">
            <v>PT-Transmission Total</v>
          </cell>
          <cell r="H523">
            <v>4</v>
          </cell>
          <cell r="I523">
            <v>2113555</v>
          </cell>
          <cell r="J523">
            <v>84976.37</v>
          </cell>
        </row>
        <row r="524">
          <cell r="C524" t="str">
            <v>OK</v>
          </cell>
          <cell r="F524" t="str">
            <v>Industrial Total</v>
          </cell>
          <cell r="G524">
            <v>0</v>
          </cell>
          <cell r="H524">
            <v>12</v>
          </cell>
          <cell r="I524">
            <v>2796351</v>
          </cell>
          <cell r="J524">
            <v>119010</v>
          </cell>
        </row>
        <row r="525">
          <cell r="C525" t="str">
            <v>OK</v>
          </cell>
          <cell r="F525" t="str">
            <v>Muni Street &amp; Highway Lighting</v>
          </cell>
          <cell r="G525" t="str">
            <v>CB-Commercial</v>
          </cell>
          <cell r="H525">
            <v>0</v>
          </cell>
          <cell r="I525">
            <v>740</v>
          </cell>
          <cell r="J525">
            <v>206.49</v>
          </cell>
        </row>
        <row r="526">
          <cell r="C526" t="str">
            <v>OK</v>
          </cell>
          <cell r="F526" t="str">
            <v>Muni Street &amp; Highway Lighting</v>
          </cell>
          <cell r="G526" t="str">
            <v>CB-Commercial Total</v>
          </cell>
          <cell r="H526">
            <v>12</v>
          </cell>
          <cell r="I526">
            <v>740</v>
          </cell>
          <cell r="J526">
            <v>206.49</v>
          </cell>
        </row>
        <row r="527">
          <cell r="C527" t="str">
            <v>OK</v>
          </cell>
          <cell r="F527" t="str">
            <v>Muni Street &amp; Highway Lighting</v>
          </cell>
          <cell r="G527" t="str">
            <v>LS-Special Lighting</v>
          </cell>
          <cell r="H527">
            <v>0</v>
          </cell>
          <cell r="I527">
            <v>320</v>
          </cell>
          <cell r="J527">
            <v>36.590000000000003</v>
          </cell>
        </row>
        <row r="528">
          <cell r="C528" t="str">
            <v>OK</v>
          </cell>
          <cell r="F528" t="str">
            <v>Muni Street &amp; Highway Lighting</v>
          </cell>
          <cell r="G528" t="str">
            <v>LS-Special Lighting Total</v>
          </cell>
          <cell r="H528">
            <v>1</v>
          </cell>
          <cell r="I528">
            <v>320</v>
          </cell>
          <cell r="J528">
            <v>36.590000000000003</v>
          </cell>
        </row>
        <row r="529">
          <cell r="C529" t="str">
            <v>OK</v>
          </cell>
          <cell r="F529" t="str">
            <v>Muni Street &amp; Highway Lighting</v>
          </cell>
          <cell r="G529" t="str">
            <v>PL-Private Lighting</v>
          </cell>
          <cell r="H529">
            <v>0</v>
          </cell>
          <cell r="I529">
            <v>147</v>
          </cell>
          <cell r="J529">
            <v>36.82</v>
          </cell>
        </row>
        <row r="530">
          <cell r="C530" t="str">
            <v>OK</v>
          </cell>
          <cell r="F530" t="str">
            <v>Muni Street &amp; Highway Lighting</v>
          </cell>
          <cell r="G530" t="str">
            <v>PL-Private Lighting Total</v>
          </cell>
          <cell r="H530">
            <v>0</v>
          </cell>
          <cell r="I530">
            <v>147</v>
          </cell>
          <cell r="J530">
            <v>36.82</v>
          </cell>
        </row>
        <row r="531">
          <cell r="C531" t="str">
            <v>OK</v>
          </cell>
          <cell r="F531" t="str">
            <v>Muni Street &amp; Highway Lighting</v>
          </cell>
          <cell r="G531" t="str">
            <v>SPL-Municipal St Lighting</v>
          </cell>
          <cell r="H531">
            <v>0</v>
          </cell>
          <cell r="I531">
            <v>65100</v>
          </cell>
          <cell r="J531">
            <v>3954.95</v>
          </cell>
        </row>
        <row r="532">
          <cell r="C532" t="str">
            <v>OK</v>
          </cell>
          <cell r="F532" t="str">
            <v>Muni Street &amp; Highway Lighting</v>
          </cell>
          <cell r="G532" t="str">
            <v>SPL-Municipal St Lighting Total</v>
          </cell>
          <cell r="H532">
            <v>0</v>
          </cell>
          <cell r="I532">
            <v>65100</v>
          </cell>
          <cell r="J532">
            <v>3954.95</v>
          </cell>
        </row>
        <row r="533">
          <cell r="C533" t="str">
            <v>OK</v>
          </cell>
          <cell r="F533" t="str">
            <v>Muni Street &amp; Highway Lighting Total</v>
          </cell>
          <cell r="G533">
            <v>0</v>
          </cell>
          <cell r="H533">
            <v>13</v>
          </cell>
          <cell r="I533">
            <v>66307</v>
          </cell>
          <cell r="J533">
            <v>4234.8499999999995</v>
          </cell>
        </row>
        <row r="534">
          <cell r="C534" t="str">
            <v>OK</v>
          </cell>
          <cell r="F534" t="str">
            <v>Other Public Authority</v>
          </cell>
          <cell r="G534" t="str">
            <v>CB-Commercial</v>
          </cell>
          <cell r="H534">
            <v>0</v>
          </cell>
          <cell r="I534">
            <v>30155</v>
          </cell>
          <cell r="J534">
            <v>2807.5</v>
          </cell>
        </row>
        <row r="535">
          <cell r="C535" t="str">
            <v>OK</v>
          </cell>
          <cell r="F535" t="str">
            <v>Other Public Authority</v>
          </cell>
          <cell r="G535" t="str">
            <v>CB-Commercial</v>
          </cell>
          <cell r="H535">
            <v>0</v>
          </cell>
          <cell r="I535">
            <v>42797</v>
          </cell>
          <cell r="J535">
            <v>3765.7</v>
          </cell>
        </row>
        <row r="536">
          <cell r="C536" t="str">
            <v>OK</v>
          </cell>
          <cell r="F536" t="str">
            <v>Other Public Authority</v>
          </cell>
          <cell r="G536" t="str">
            <v>CB-Commercial Total</v>
          </cell>
          <cell r="H536">
            <v>69</v>
          </cell>
          <cell r="I536">
            <v>72952</v>
          </cell>
          <cell r="J536">
            <v>6573.2</v>
          </cell>
        </row>
        <row r="537">
          <cell r="C537" t="str">
            <v>OK</v>
          </cell>
          <cell r="F537" t="str">
            <v>Other Public Authority</v>
          </cell>
          <cell r="G537" t="str">
            <v>GP-General Power</v>
          </cell>
          <cell r="H537">
            <v>0</v>
          </cell>
          <cell r="I537">
            <v>18880</v>
          </cell>
          <cell r="J537">
            <v>1513.33</v>
          </cell>
        </row>
        <row r="538">
          <cell r="C538" t="str">
            <v>OK</v>
          </cell>
          <cell r="F538" t="str">
            <v>Other Public Authority</v>
          </cell>
          <cell r="G538" t="str">
            <v>GP-General Power</v>
          </cell>
          <cell r="H538">
            <v>0</v>
          </cell>
          <cell r="I538">
            <v>94545</v>
          </cell>
          <cell r="J538">
            <v>5980.56</v>
          </cell>
        </row>
        <row r="539">
          <cell r="C539" t="str">
            <v>OK</v>
          </cell>
          <cell r="F539" t="str">
            <v>Other Public Authority</v>
          </cell>
          <cell r="G539" t="str">
            <v>GP-General Power Total</v>
          </cell>
          <cell r="H539">
            <v>8</v>
          </cell>
          <cell r="I539">
            <v>113425</v>
          </cell>
          <cell r="J539">
            <v>7493.89</v>
          </cell>
        </row>
        <row r="540">
          <cell r="C540" t="str">
            <v>OK</v>
          </cell>
          <cell r="F540" t="str">
            <v>Other Public Authority</v>
          </cell>
          <cell r="G540" t="str">
            <v>TEB-Total Electric Bldg</v>
          </cell>
          <cell r="H540">
            <v>0</v>
          </cell>
          <cell r="I540">
            <v>982</v>
          </cell>
          <cell r="J540">
            <v>103.54</v>
          </cell>
        </row>
        <row r="541">
          <cell r="C541" t="str">
            <v>OK</v>
          </cell>
          <cell r="F541" t="str">
            <v>Other Public Authority</v>
          </cell>
          <cell r="G541" t="str">
            <v>TEB-Total Electric Bldg Total</v>
          </cell>
          <cell r="H541">
            <v>1</v>
          </cell>
          <cell r="I541">
            <v>982</v>
          </cell>
          <cell r="J541">
            <v>103.54</v>
          </cell>
        </row>
        <row r="542">
          <cell r="C542" t="str">
            <v>OK</v>
          </cell>
          <cell r="F542" t="str">
            <v>Other Public Authority Total</v>
          </cell>
          <cell r="G542">
            <v>0</v>
          </cell>
          <cell r="H542">
            <v>78</v>
          </cell>
          <cell r="I542">
            <v>187359</v>
          </cell>
          <cell r="J542">
            <v>14170.630000000001</v>
          </cell>
        </row>
        <row r="543">
          <cell r="C543" t="str">
            <v>OK Total</v>
          </cell>
          <cell r="F543">
            <v>0</v>
          </cell>
          <cell r="G543">
            <v>0</v>
          </cell>
          <cell r="H543">
            <v>4696</v>
          </cell>
          <cell r="I543">
            <v>11617170</v>
          </cell>
          <cell r="J543">
            <v>634540.86999999976</v>
          </cell>
        </row>
        <row r="544">
          <cell r="C544" t="str">
            <v>Grand Total</v>
          </cell>
          <cell r="F544">
            <v>0</v>
          </cell>
          <cell r="G544">
            <v>0</v>
          </cell>
          <cell r="H544">
            <v>171396</v>
          </cell>
          <cell r="I544">
            <v>398249278</v>
          </cell>
          <cell r="J544">
            <v>40072545.979999997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79"/>
  <sheetViews>
    <sheetView tabSelected="1" topLeftCell="C1" zoomScaleNormal="100" workbookViewId="0">
      <selection activeCell="I4" sqref="I4"/>
    </sheetView>
  </sheetViews>
  <sheetFormatPr defaultRowHeight="15" x14ac:dyDescent="0.25"/>
  <cols>
    <col min="1" max="1" width="26.85546875" style="42" bestFit="1" customWidth="1"/>
    <col min="2" max="2" width="24.42578125" style="42" bestFit="1" customWidth="1"/>
    <col min="3" max="3" width="14.28515625" style="42" bestFit="1" customWidth="1"/>
    <col min="4" max="4" width="18.85546875" style="42" bestFit="1" customWidth="1"/>
    <col min="5" max="6" width="12" style="42" bestFit="1" customWidth="1"/>
    <col min="7" max="7" width="13" style="42" customWidth="1"/>
    <col min="8" max="8" width="13.7109375" style="42" bestFit="1" customWidth="1"/>
    <col min="9" max="9" width="15.28515625" style="42" bestFit="1" customWidth="1"/>
    <col min="10" max="16384" width="9.140625" style="42"/>
  </cols>
  <sheetData>
    <row r="4" spans="1:9" x14ac:dyDescent="0.25">
      <c r="A4" s="62" t="s">
        <v>141</v>
      </c>
      <c r="I4" s="42" t="s">
        <v>223</v>
      </c>
    </row>
    <row r="5" spans="1:9" x14ac:dyDescent="0.25">
      <c r="A5" s="62" t="s">
        <v>142</v>
      </c>
      <c r="I5" s="42" t="s">
        <v>222</v>
      </c>
    </row>
    <row r="6" spans="1:9" x14ac:dyDescent="0.25">
      <c r="A6" s="61" t="s">
        <v>143</v>
      </c>
    </row>
    <row r="7" spans="1:9" x14ac:dyDescent="0.25">
      <c r="A7" s="61" t="s">
        <v>178</v>
      </c>
    </row>
    <row r="8" spans="1:9" x14ac:dyDescent="0.25">
      <c r="A8" s="43"/>
      <c r="B8" s="43"/>
      <c r="C8" s="43"/>
      <c r="D8" s="43"/>
    </row>
    <row r="9" spans="1:9" x14ac:dyDescent="0.25">
      <c r="A9" s="44"/>
      <c r="B9" s="219" t="s">
        <v>189</v>
      </c>
      <c r="C9" s="220"/>
      <c r="D9" s="221"/>
      <c r="E9" s="219" t="s">
        <v>64</v>
      </c>
      <c r="F9" s="221"/>
      <c r="G9" s="219" t="s">
        <v>65</v>
      </c>
      <c r="H9" s="220"/>
      <c r="I9" s="221"/>
    </row>
    <row r="10" spans="1:9" x14ac:dyDescent="0.25">
      <c r="A10" s="48" t="s">
        <v>68</v>
      </c>
      <c r="B10" s="45" t="s">
        <v>66</v>
      </c>
      <c r="C10" s="45" t="s">
        <v>67</v>
      </c>
      <c r="D10" s="45" t="s">
        <v>19</v>
      </c>
      <c r="E10" s="46" t="s">
        <v>66</v>
      </c>
      <c r="F10" s="46" t="s">
        <v>67</v>
      </c>
      <c r="G10" s="46" t="s">
        <v>66</v>
      </c>
      <c r="H10" s="46" t="s">
        <v>67</v>
      </c>
      <c r="I10" s="45" t="s">
        <v>19</v>
      </c>
    </row>
    <row r="11" spans="1:9" x14ac:dyDescent="0.25">
      <c r="A11" s="47"/>
      <c r="B11" s="144"/>
      <c r="C11" s="144"/>
      <c r="D11" s="144"/>
      <c r="E11" s="50"/>
      <c r="F11" s="50"/>
      <c r="G11" s="144"/>
      <c r="H11" s="144"/>
      <c r="I11" s="144"/>
    </row>
    <row r="12" spans="1:9" x14ac:dyDescent="0.25">
      <c r="A12" s="47" t="s">
        <v>69</v>
      </c>
      <c r="B12" s="56">
        <f>Customers!U33</f>
        <v>4117</v>
      </c>
      <c r="C12" s="56">
        <f>Customers!V33</f>
        <v>6200</v>
      </c>
      <c r="D12" s="56">
        <f>SUM(B12:C12)</f>
        <v>10317</v>
      </c>
      <c r="E12" s="65">
        <v>13</v>
      </c>
      <c r="F12" s="65">
        <v>13</v>
      </c>
      <c r="G12" s="145">
        <f>B12*E12</f>
        <v>53521</v>
      </c>
      <c r="H12" s="145">
        <f>C12*F12</f>
        <v>80600</v>
      </c>
      <c r="I12" s="146">
        <f>SUM(G12:H12)</f>
        <v>134121</v>
      </c>
    </row>
    <row r="13" spans="1:9" x14ac:dyDescent="0.25">
      <c r="A13" s="42" t="s">
        <v>177</v>
      </c>
      <c r="B13" s="56">
        <f>Customers!U34</f>
        <v>-373</v>
      </c>
      <c r="C13" s="56">
        <f>Customers!V34</f>
        <v>-3</v>
      </c>
      <c r="D13" s="56">
        <f>SUM(B13:C13)</f>
        <v>-376</v>
      </c>
      <c r="E13" s="65">
        <f>E12*-1</f>
        <v>-13</v>
      </c>
      <c r="F13" s="65">
        <f>F12*-1</f>
        <v>-13</v>
      </c>
      <c r="G13" s="57">
        <f>B13*E13</f>
        <v>4849</v>
      </c>
      <c r="H13" s="57">
        <f>C13*F13</f>
        <v>39</v>
      </c>
      <c r="I13" s="56">
        <f>SUM(G13:H13)</f>
        <v>4888</v>
      </c>
    </row>
    <row r="14" spans="1:9" x14ac:dyDescent="0.25">
      <c r="A14" s="47" t="s">
        <v>144</v>
      </c>
      <c r="B14" s="57"/>
      <c r="C14" s="57"/>
      <c r="D14" s="57"/>
      <c r="E14" s="65"/>
      <c r="F14" s="65"/>
      <c r="G14" s="57"/>
      <c r="H14" s="57"/>
      <c r="I14" s="57"/>
    </row>
    <row r="15" spans="1:9" x14ac:dyDescent="0.25">
      <c r="A15" s="47" t="s">
        <v>71</v>
      </c>
      <c r="B15" s="35">
        <f>Customers!U55</f>
        <v>2142085.566774623</v>
      </c>
      <c r="C15" s="35">
        <f>Customers!V55</f>
        <v>3037275.7691684151</v>
      </c>
      <c r="D15" s="35">
        <f>SUM(B15:C15)</f>
        <v>5179361.3359430376</v>
      </c>
      <c r="E15" s="84">
        <v>0.13006000000000001</v>
      </c>
      <c r="F15" s="84">
        <v>0.13006000000000001</v>
      </c>
      <c r="G15" s="49">
        <f t="shared" ref="G15:H16" si="0">B15*E15</f>
        <v>278599.64881470747</v>
      </c>
      <c r="H15" s="49">
        <f t="shared" si="0"/>
        <v>395028.0865380441</v>
      </c>
      <c r="I15" s="35">
        <f>SUM(G15:H15)</f>
        <v>673627.73535275157</v>
      </c>
    </row>
    <row r="16" spans="1:9" x14ac:dyDescent="0.25">
      <c r="A16" s="47" t="s">
        <v>72</v>
      </c>
      <c r="B16" s="58">
        <f>Customers!U66</f>
        <v>2270791.7036488587</v>
      </c>
      <c r="C16" s="58">
        <f>Customers!V66</f>
        <v>3273134.4593375539</v>
      </c>
      <c r="D16" s="58">
        <f t="shared" ref="D16:D17" si="1">SUM(B16:C16)</f>
        <v>5543926.1629864126</v>
      </c>
      <c r="E16" s="84">
        <v>0.13006000000000001</v>
      </c>
      <c r="F16" s="84">
        <v>0.10574</v>
      </c>
      <c r="G16" s="148">
        <f t="shared" si="0"/>
        <v>295339.1689765706</v>
      </c>
      <c r="H16" s="148">
        <f t="shared" si="0"/>
        <v>346101.23773035296</v>
      </c>
      <c r="I16" s="58">
        <f>SUM(G16:H16)</f>
        <v>641440.40670692362</v>
      </c>
    </row>
    <row r="17" spans="1:9" hidden="1" x14ac:dyDescent="0.25">
      <c r="A17" s="47"/>
      <c r="B17" s="35"/>
      <c r="C17" s="35"/>
      <c r="D17" s="35">
        <f t="shared" si="1"/>
        <v>0</v>
      </c>
      <c r="E17" s="65"/>
      <c r="F17" s="65"/>
      <c r="G17" s="67"/>
      <c r="H17" s="67"/>
      <c r="I17" s="68"/>
    </row>
    <row r="18" spans="1:9" x14ac:dyDescent="0.25">
      <c r="A18" s="63" t="s">
        <v>19</v>
      </c>
      <c r="B18" s="149">
        <f>SUM(B15:B17)</f>
        <v>4412877.2704234812</v>
      </c>
      <c r="C18" s="149">
        <f>SUM(C15:C17)</f>
        <v>6310410.228505969</v>
      </c>
      <c r="D18" s="149">
        <f>SUM(D15:D17)</f>
        <v>10723287.49892945</v>
      </c>
      <c r="E18" s="66"/>
      <c r="F18" s="66"/>
      <c r="G18" s="150">
        <f>SUM(G12:G17)</f>
        <v>632308.81779127801</v>
      </c>
      <c r="H18" s="150">
        <f>SUM(H12:H17)</f>
        <v>821768.32426839706</v>
      </c>
      <c r="I18" s="151">
        <f>SUM(I12:I17)</f>
        <v>1454077.1420596752</v>
      </c>
    </row>
    <row r="19" spans="1:9" x14ac:dyDescent="0.25">
      <c r="A19" s="47"/>
      <c r="B19" s="35"/>
      <c r="C19" s="35"/>
      <c r="D19" s="35"/>
      <c r="E19" s="52"/>
      <c r="F19" s="52"/>
      <c r="G19" s="35"/>
      <c r="H19" s="35"/>
      <c r="I19" s="35"/>
    </row>
    <row r="20" spans="1:9" x14ac:dyDescent="0.25">
      <c r="B20" s="35"/>
      <c r="C20" s="35"/>
      <c r="D20" s="35"/>
      <c r="G20" s="35"/>
      <c r="H20" s="35"/>
      <c r="I20" s="35"/>
    </row>
    <row r="21" spans="1:9" x14ac:dyDescent="0.25">
      <c r="A21" s="44"/>
      <c r="B21" s="219" t="s">
        <v>189</v>
      </c>
      <c r="C21" s="220"/>
      <c r="D21" s="221"/>
      <c r="E21" s="219" t="s">
        <v>64</v>
      </c>
      <c r="F21" s="221"/>
      <c r="G21" s="222" t="s">
        <v>65</v>
      </c>
      <c r="H21" s="223"/>
      <c r="I21" s="224"/>
    </row>
    <row r="22" spans="1:9" x14ac:dyDescent="0.25">
      <c r="A22" s="44"/>
      <c r="B22" s="54" t="s">
        <v>66</v>
      </c>
      <c r="C22" s="54" t="s">
        <v>67</v>
      </c>
      <c r="D22" s="54" t="s">
        <v>19</v>
      </c>
      <c r="E22" s="46" t="s">
        <v>66</v>
      </c>
      <c r="F22" s="46" t="s">
        <v>67</v>
      </c>
      <c r="G22" s="55" t="s">
        <v>66</v>
      </c>
      <c r="H22" s="55" t="s">
        <v>67</v>
      </c>
      <c r="I22" s="54" t="s">
        <v>19</v>
      </c>
    </row>
    <row r="23" spans="1:9" x14ac:dyDescent="0.25">
      <c r="A23" s="47"/>
      <c r="B23" s="49"/>
      <c r="C23" s="49"/>
      <c r="D23" s="49"/>
      <c r="E23" s="44"/>
      <c r="F23" s="44"/>
      <c r="G23" s="49"/>
      <c r="H23" s="49"/>
      <c r="I23" s="49"/>
    </row>
    <row r="24" spans="1:9" x14ac:dyDescent="0.25">
      <c r="A24" s="48" t="s">
        <v>76</v>
      </c>
      <c r="B24" s="57"/>
      <c r="C24" s="57"/>
      <c r="D24" s="57"/>
      <c r="E24" s="50"/>
      <c r="F24" s="50"/>
      <c r="G24" s="57"/>
      <c r="H24" s="57"/>
      <c r="I24" s="57"/>
    </row>
    <row r="25" spans="1:9" x14ac:dyDescent="0.25">
      <c r="A25" s="47" t="s">
        <v>69</v>
      </c>
      <c r="B25" s="56">
        <f>Customers!U35</f>
        <v>180</v>
      </c>
      <c r="C25" s="56">
        <f>Customers!V35</f>
        <v>445</v>
      </c>
      <c r="D25" s="56">
        <f>SUM(B25:C25)</f>
        <v>625</v>
      </c>
      <c r="E25" s="65">
        <v>22.69</v>
      </c>
      <c r="F25" s="65">
        <v>22.69</v>
      </c>
      <c r="G25" s="145">
        <f>B25*E25</f>
        <v>4084.2000000000003</v>
      </c>
      <c r="H25" s="145">
        <f>C25*F25</f>
        <v>10097.050000000001</v>
      </c>
      <c r="I25" s="146">
        <f>SUM(G25:H25)</f>
        <v>14181.250000000002</v>
      </c>
    </row>
    <row r="26" spans="1:9" x14ac:dyDescent="0.25">
      <c r="A26" s="47" t="s">
        <v>70</v>
      </c>
      <c r="B26" s="57"/>
      <c r="C26" s="57"/>
      <c r="D26" s="57"/>
      <c r="E26" s="65"/>
      <c r="F26" s="65"/>
      <c r="G26" s="145"/>
      <c r="H26" s="145"/>
      <c r="I26" s="145"/>
    </row>
    <row r="27" spans="1:9" x14ac:dyDescent="0.25">
      <c r="A27" s="47" t="s">
        <v>77</v>
      </c>
      <c r="B27" s="35">
        <f>Customers!U56</f>
        <v>80013.143953404695</v>
      </c>
      <c r="C27" s="35">
        <f>Customers!V56</f>
        <v>191788.40804374701</v>
      </c>
      <c r="D27" s="35">
        <f t="shared" ref="D27:D28" si="2">SUM(B27:C27)</f>
        <v>271801.55199715169</v>
      </c>
      <c r="E27" s="84">
        <v>0.13167999999999999</v>
      </c>
      <c r="F27" s="84">
        <v>0.13167999999999999</v>
      </c>
      <c r="G27" s="49">
        <f>B27*E27</f>
        <v>10536.130795784329</v>
      </c>
      <c r="H27" s="49">
        <f>C27*F27</f>
        <v>25254.697571200606</v>
      </c>
      <c r="I27" s="35">
        <f>SUM(G27:H27)</f>
        <v>35790.828366984933</v>
      </c>
    </row>
    <row r="28" spans="1:9" x14ac:dyDescent="0.25">
      <c r="A28" s="47" t="s">
        <v>78</v>
      </c>
      <c r="B28" s="58">
        <f>Customers!U67</f>
        <v>221530.62999293639</v>
      </c>
      <c r="C28" s="58">
        <f>Customers!V67</f>
        <v>419833.20074935874</v>
      </c>
      <c r="D28" s="58">
        <f t="shared" si="2"/>
        <v>641363.83074229513</v>
      </c>
      <c r="E28" s="84">
        <v>0.13167999999999999</v>
      </c>
      <c r="F28" s="84">
        <v>0.11838</v>
      </c>
      <c r="G28" s="148">
        <f>B28*E28</f>
        <v>29171.153357469862</v>
      </c>
      <c r="H28" s="148">
        <f>C28*F28</f>
        <v>49699.854304709086</v>
      </c>
      <c r="I28" s="58">
        <f>SUM(G28:H28)</f>
        <v>78871.007662178949</v>
      </c>
    </row>
    <row r="29" spans="1:9" hidden="1" x14ac:dyDescent="0.25">
      <c r="A29" s="47"/>
      <c r="B29" s="35"/>
      <c r="C29" s="35"/>
      <c r="D29" s="35"/>
      <c r="E29" s="65"/>
      <c r="F29" s="65"/>
      <c r="G29" s="49">
        <f>B29*E29</f>
        <v>0</v>
      </c>
      <c r="H29" s="49"/>
      <c r="I29" s="35">
        <f>SUM(G29:H29)</f>
        <v>0</v>
      </c>
    </row>
    <row r="30" spans="1:9" x14ac:dyDescent="0.25">
      <c r="A30" s="51" t="s">
        <v>73</v>
      </c>
      <c r="B30" s="149">
        <f>SUM(B27:B28)</f>
        <v>301543.77394634107</v>
      </c>
      <c r="C30" s="149">
        <f>SUM(C27:C28)</f>
        <v>611621.6087931057</v>
      </c>
      <c r="D30" s="149">
        <f>SUM(D27:D28)</f>
        <v>913165.38273944682</v>
      </c>
      <c r="E30" s="66"/>
      <c r="F30" s="66"/>
      <c r="G30" s="150">
        <f>SUM(G25:G28)</f>
        <v>43791.48415325419</v>
      </c>
      <c r="H30" s="150">
        <f>SUM(H25:H28)</f>
        <v>85051.601875909691</v>
      </c>
      <c r="I30" s="151">
        <f>SUM(I25:I28)</f>
        <v>128843.08602916388</v>
      </c>
    </row>
    <row r="31" spans="1:9" x14ac:dyDescent="0.25">
      <c r="A31" s="47"/>
      <c r="B31" s="35"/>
      <c r="C31" s="35"/>
      <c r="D31" s="35"/>
      <c r="E31" s="52"/>
      <c r="F31" s="52"/>
      <c r="G31" s="35"/>
      <c r="H31" s="35"/>
      <c r="I31" s="35"/>
    </row>
    <row r="32" spans="1:9" x14ac:dyDescent="0.25">
      <c r="B32" s="35"/>
      <c r="C32" s="35"/>
      <c r="D32" s="35"/>
      <c r="G32" s="35"/>
      <c r="H32" s="35"/>
      <c r="I32" s="35"/>
    </row>
    <row r="33" spans="1:9" x14ac:dyDescent="0.25">
      <c r="A33" s="44"/>
      <c r="B33" s="219" t="s">
        <v>189</v>
      </c>
      <c r="C33" s="220"/>
      <c r="D33" s="221"/>
      <c r="E33" s="219" t="s">
        <v>64</v>
      </c>
      <c r="F33" s="221"/>
      <c r="G33" s="222" t="s">
        <v>65</v>
      </c>
      <c r="H33" s="223"/>
      <c r="I33" s="224"/>
    </row>
    <row r="34" spans="1:9" x14ac:dyDescent="0.25">
      <c r="A34" s="44"/>
      <c r="B34" s="54" t="s">
        <v>66</v>
      </c>
      <c r="C34" s="54" t="s">
        <v>67</v>
      </c>
      <c r="D34" s="54" t="s">
        <v>19</v>
      </c>
      <c r="E34" s="45" t="s">
        <v>66</v>
      </c>
      <c r="F34" s="45" t="s">
        <v>67</v>
      </c>
      <c r="G34" s="54" t="s">
        <v>66</v>
      </c>
      <c r="H34" s="54" t="s">
        <v>67</v>
      </c>
      <c r="I34" s="54" t="s">
        <v>19</v>
      </c>
    </row>
    <row r="35" spans="1:9" x14ac:dyDescent="0.25">
      <c r="A35" s="47"/>
      <c r="B35" s="49"/>
      <c r="C35" s="49"/>
      <c r="D35" s="49"/>
      <c r="E35" s="44"/>
      <c r="F35" s="44"/>
      <c r="G35" s="49"/>
      <c r="H35" s="49"/>
      <c r="I35" s="49"/>
    </row>
    <row r="36" spans="1:9" x14ac:dyDescent="0.25">
      <c r="A36" s="48" t="s">
        <v>5</v>
      </c>
      <c r="B36" s="57"/>
      <c r="C36" s="57"/>
      <c r="D36" s="57"/>
      <c r="E36" s="50"/>
      <c r="F36" s="50"/>
      <c r="G36" s="57"/>
      <c r="H36" s="57"/>
      <c r="I36" s="57"/>
    </row>
    <row r="37" spans="1:9" x14ac:dyDescent="0.25">
      <c r="A37" s="47" t="s">
        <v>69</v>
      </c>
      <c r="B37" s="56">
        <f>Customers!U36</f>
        <v>-11</v>
      </c>
      <c r="C37" s="56">
        <f>Customers!V36</f>
        <v>-49</v>
      </c>
      <c r="D37" s="56">
        <f>SUM(B37:C37)</f>
        <v>-60</v>
      </c>
      <c r="E37" s="65">
        <v>22.69</v>
      </c>
      <c r="F37" s="65">
        <v>22.69</v>
      </c>
      <c r="G37" s="145">
        <f>B37*E37</f>
        <v>-249.59</v>
      </c>
      <c r="H37" s="145">
        <f>C37*F37</f>
        <v>-1111.8100000000002</v>
      </c>
      <c r="I37" s="146">
        <f>SUM(G37:H37)</f>
        <v>-1361.4</v>
      </c>
    </row>
    <row r="38" spans="1:9" x14ac:dyDescent="0.25">
      <c r="A38" s="47" t="s">
        <v>70</v>
      </c>
      <c r="B38" s="57"/>
      <c r="C38" s="57"/>
      <c r="D38" s="57"/>
      <c r="E38" s="65"/>
      <c r="F38" s="65"/>
      <c r="G38" s="145"/>
      <c r="H38" s="145"/>
      <c r="I38" s="145"/>
    </row>
    <row r="39" spans="1:9" x14ac:dyDescent="0.25">
      <c r="A39" s="47" t="s">
        <v>77</v>
      </c>
      <c r="B39" s="56">
        <f>Customers!U57</f>
        <v>-5787.3082042022907</v>
      </c>
      <c r="C39" s="56">
        <f>Customers!V57</f>
        <v>-25249.892717936978</v>
      </c>
      <c r="D39" s="56">
        <f t="shared" ref="D39:D41" si="3">SUM(B39:C39)</f>
        <v>-31037.200922139269</v>
      </c>
      <c r="E39" s="84">
        <v>0.12872</v>
      </c>
      <c r="F39" s="84">
        <v>0.12872</v>
      </c>
      <c r="G39" s="57">
        <f t="shared" ref="G39:H41" si="4">B39*E39</f>
        <v>-744.94231204491882</v>
      </c>
      <c r="H39" s="57">
        <f t="shared" si="4"/>
        <v>-3250.1661906528479</v>
      </c>
      <c r="I39" s="56">
        <f>SUM(G39:H39)</f>
        <v>-3995.1085026977667</v>
      </c>
    </row>
    <row r="40" spans="1:9" x14ac:dyDescent="0.25">
      <c r="A40" s="47" t="s">
        <v>78</v>
      </c>
      <c r="B40" s="152">
        <f>Customers!U68</f>
        <v>-15720.859731839904</v>
      </c>
      <c r="C40" s="152">
        <f>Customers!V68</f>
        <v>-80219.300445225643</v>
      </c>
      <c r="D40" s="152">
        <f t="shared" si="3"/>
        <v>-95940.160177065554</v>
      </c>
      <c r="E40" s="84">
        <v>0.12872</v>
      </c>
      <c r="F40" s="84">
        <v>9.6159999999999995E-2</v>
      </c>
      <c r="G40" s="153">
        <f t="shared" si="4"/>
        <v>-2023.5890646824325</v>
      </c>
      <c r="H40" s="153">
        <f t="shared" si="4"/>
        <v>-7713.8879308128971</v>
      </c>
      <c r="I40" s="152">
        <f>SUM(G40:H40)</f>
        <v>-9737.4769954953299</v>
      </c>
    </row>
    <row r="41" spans="1:9" hidden="1" x14ac:dyDescent="0.25">
      <c r="A41" s="47"/>
      <c r="B41" s="35"/>
      <c r="C41" s="35"/>
      <c r="D41" s="35">
        <f t="shared" si="3"/>
        <v>0</v>
      </c>
      <c r="E41" s="65"/>
      <c r="F41" s="65"/>
      <c r="G41" s="49">
        <f t="shared" si="4"/>
        <v>0</v>
      </c>
      <c r="H41" s="49">
        <f t="shared" si="4"/>
        <v>0</v>
      </c>
      <c r="I41" s="35">
        <f>SUM(G41:H41)</f>
        <v>0</v>
      </c>
    </row>
    <row r="42" spans="1:9" x14ac:dyDescent="0.25">
      <c r="A42" s="51" t="s">
        <v>73</v>
      </c>
      <c r="B42" s="149">
        <f>SUM(B39:B41)</f>
        <v>-21508.167936042195</v>
      </c>
      <c r="C42" s="149">
        <f>SUM(C39:C41)</f>
        <v>-105469.19316316262</v>
      </c>
      <c r="D42" s="149">
        <f>SUM(D39:D41)</f>
        <v>-126977.36109920482</v>
      </c>
      <c r="E42" s="66"/>
      <c r="F42" s="66"/>
      <c r="G42" s="150">
        <f>SUM(G37:G41)</f>
        <v>-3018.1213767273512</v>
      </c>
      <c r="H42" s="150">
        <f>SUM(H37:H41)</f>
        <v>-12075.864121465745</v>
      </c>
      <c r="I42" s="151">
        <f>SUM(I37:I41)</f>
        <v>-15093.985498193097</v>
      </c>
    </row>
    <row r="43" spans="1:9" x14ac:dyDescent="0.25">
      <c r="A43" s="47"/>
      <c r="B43" s="35"/>
      <c r="C43" s="35"/>
      <c r="D43" s="35"/>
      <c r="E43" s="52"/>
      <c r="F43" s="52"/>
      <c r="G43" s="35"/>
      <c r="H43" s="35"/>
      <c r="I43" s="35"/>
    </row>
    <row r="44" spans="1:9" x14ac:dyDescent="0.25">
      <c r="B44" s="53"/>
      <c r="C44" s="53"/>
      <c r="D44" s="53"/>
      <c r="E44" s="35"/>
      <c r="F44" s="35"/>
      <c r="G44" s="53"/>
      <c r="H44" s="53"/>
      <c r="I44" s="53"/>
    </row>
    <row r="45" spans="1:9" x14ac:dyDescent="0.25">
      <c r="A45" s="44"/>
      <c r="B45" s="219" t="s">
        <v>189</v>
      </c>
      <c r="C45" s="220"/>
      <c r="D45" s="221"/>
      <c r="E45" s="219" t="s">
        <v>64</v>
      </c>
      <c r="F45" s="221"/>
      <c r="G45" s="222" t="s">
        <v>65</v>
      </c>
      <c r="H45" s="223"/>
      <c r="I45" s="224"/>
    </row>
    <row r="46" spans="1:9" x14ac:dyDescent="0.25">
      <c r="A46" s="44"/>
      <c r="B46" s="54" t="s">
        <v>66</v>
      </c>
      <c r="C46" s="54" t="s">
        <v>67</v>
      </c>
      <c r="D46" s="54" t="s">
        <v>19</v>
      </c>
      <c r="E46" s="45" t="s">
        <v>66</v>
      </c>
      <c r="F46" s="45" t="s">
        <v>67</v>
      </c>
      <c r="G46" s="54" t="s">
        <v>66</v>
      </c>
      <c r="H46" s="54" t="s">
        <v>67</v>
      </c>
      <c r="I46" s="54" t="s">
        <v>19</v>
      </c>
    </row>
    <row r="47" spans="1:9" x14ac:dyDescent="0.25">
      <c r="B47" s="35"/>
      <c r="C47" s="35"/>
      <c r="D47" s="35"/>
      <c r="G47" s="35"/>
      <c r="H47" s="35"/>
      <c r="I47" s="35"/>
    </row>
    <row r="48" spans="1:9" x14ac:dyDescent="0.25">
      <c r="A48" s="48" t="s">
        <v>79</v>
      </c>
      <c r="B48" s="49"/>
      <c r="C48" s="49"/>
      <c r="D48" s="35"/>
      <c r="G48" s="35"/>
      <c r="H48" s="35"/>
      <c r="I48" s="35"/>
    </row>
    <row r="49" spans="1:9" x14ac:dyDescent="0.25">
      <c r="A49" s="47" t="s">
        <v>69</v>
      </c>
      <c r="B49" s="56">
        <f>Customers!U37</f>
        <v>24</v>
      </c>
      <c r="C49" s="56">
        <f>Customers!V37</f>
        <v>28</v>
      </c>
      <c r="D49" s="56">
        <f>SUM(B49:C49)</f>
        <v>52</v>
      </c>
      <c r="E49" s="70">
        <v>69.489999999999995</v>
      </c>
      <c r="F49" s="70">
        <v>69.489999999999995</v>
      </c>
      <c r="G49" s="145">
        <f>B49*E49</f>
        <v>1667.7599999999998</v>
      </c>
      <c r="H49" s="145">
        <f>C49*F49</f>
        <v>1945.7199999999998</v>
      </c>
      <c r="I49" s="146">
        <f>SUM(G49:H49)</f>
        <v>3613.4799999999996</v>
      </c>
    </row>
    <row r="50" spans="1:9" x14ac:dyDescent="0.25">
      <c r="B50" s="56"/>
      <c r="C50" s="56"/>
      <c r="D50" s="56"/>
      <c r="E50" s="70"/>
      <c r="F50" s="70"/>
      <c r="G50" s="145"/>
      <c r="H50" s="145"/>
      <c r="I50" s="146"/>
    </row>
    <row r="51" spans="1:9" x14ac:dyDescent="0.25">
      <c r="A51" s="47" t="s">
        <v>80</v>
      </c>
      <c r="B51" s="56">
        <f>Customers!U91</f>
        <v>3005.0140535292394</v>
      </c>
      <c r="C51" s="56">
        <f>Customers!V91</f>
        <v>3269.6058875339604</v>
      </c>
      <c r="D51" s="56">
        <f t="shared" ref="D51:D52" si="5">SUM(B51:C51)</f>
        <v>6274.6199410631998</v>
      </c>
      <c r="E51" s="83">
        <v>7.33</v>
      </c>
      <c r="F51" s="83">
        <v>5.71</v>
      </c>
      <c r="G51" s="145">
        <f t="shared" ref="G51:H52" si="6">B51*E51</f>
        <v>22026.753012369325</v>
      </c>
      <c r="H51" s="145">
        <f t="shared" si="6"/>
        <v>18669.449617818915</v>
      </c>
      <c r="I51" s="146">
        <f>SUM(G51:H51)</f>
        <v>40696.202630188243</v>
      </c>
    </row>
    <row r="52" spans="1:9" x14ac:dyDescent="0.25">
      <c r="A52" s="47" t="s">
        <v>81</v>
      </c>
      <c r="B52" s="56">
        <f>B51</f>
        <v>3005.0140535292394</v>
      </c>
      <c r="C52" s="56">
        <f>C51</f>
        <v>3269.6058875339604</v>
      </c>
      <c r="D52" s="56">
        <f t="shared" si="5"/>
        <v>6274.6199410631998</v>
      </c>
      <c r="E52" s="83">
        <v>2.0699999999999998</v>
      </c>
      <c r="F52" s="83">
        <v>2.0699999999999998</v>
      </c>
      <c r="G52" s="57">
        <f t="shared" si="6"/>
        <v>6220.3790908055253</v>
      </c>
      <c r="H52" s="57">
        <f t="shared" si="6"/>
        <v>6768.0841871952971</v>
      </c>
      <c r="I52" s="56">
        <f>SUM(G52:H52)</f>
        <v>12988.463278000821</v>
      </c>
    </row>
    <row r="53" spans="1:9" x14ac:dyDescent="0.25">
      <c r="A53" s="47"/>
      <c r="B53" s="56"/>
      <c r="C53" s="56"/>
      <c r="D53" s="56"/>
      <c r="E53" s="69"/>
      <c r="F53" s="69"/>
      <c r="G53" s="57"/>
      <c r="H53" s="57"/>
      <c r="I53" s="56"/>
    </row>
    <row r="54" spans="1:9" x14ac:dyDescent="0.25">
      <c r="A54" s="47" t="s">
        <v>82</v>
      </c>
      <c r="B54" s="57"/>
      <c r="C54" s="57"/>
      <c r="D54" s="57"/>
      <c r="E54" s="50"/>
      <c r="F54" s="50"/>
      <c r="G54" s="49"/>
      <c r="H54" s="49"/>
      <c r="I54" s="49"/>
    </row>
    <row r="55" spans="1:9" x14ac:dyDescent="0.25">
      <c r="A55" s="47" t="s">
        <v>83</v>
      </c>
      <c r="B55" s="56">
        <f>Customers!U58</f>
        <v>430575.41399313073</v>
      </c>
      <c r="C55" s="56">
        <f>Customers!V58</f>
        <v>468427.35927315219</v>
      </c>
      <c r="D55" s="56">
        <f t="shared" ref="D55:D57" si="7">SUM(B55:C55)</f>
        <v>899002.77326628286</v>
      </c>
      <c r="E55" s="84">
        <v>9.0240000000000001E-2</v>
      </c>
      <c r="F55" s="84">
        <v>7.7990000000000004E-2</v>
      </c>
      <c r="G55" s="49">
        <f t="shared" ref="G55:H57" si="8">B55*E55</f>
        <v>38855.125358740115</v>
      </c>
      <c r="H55" s="49">
        <f t="shared" si="8"/>
        <v>36532.649749713142</v>
      </c>
      <c r="I55" s="35">
        <f>SUM(G55:H55)</f>
        <v>75387.775108453265</v>
      </c>
    </row>
    <row r="56" spans="1:9" x14ac:dyDescent="0.25">
      <c r="A56" s="47" t="s">
        <v>84</v>
      </c>
      <c r="B56" s="56">
        <f>Customers!U69</f>
        <v>419430.85180848482</v>
      </c>
      <c r="C56" s="56">
        <f>Customers!V69</f>
        <v>437736.97250736406</v>
      </c>
      <c r="D56" s="56">
        <f t="shared" si="7"/>
        <v>857167.82431584888</v>
      </c>
      <c r="E56" s="84">
        <v>7.084E-2</v>
      </c>
      <c r="F56" s="84">
        <v>6.4199999999999993E-2</v>
      </c>
      <c r="G56" s="49">
        <f t="shared" si="8"/>
        <v>29712.481542113066</v>
      </c>
      <c r="H56" s="49">
        <f t="shared" si="8"/>
        <v>28102.71363497277</v>
      </c>
      <c r="I56" s="35">
        <f>SUM(G56:H56)</f>
        <v>57815.195177085836</v>
      </c>
    </row>
    <row r="57" spans="1:9" x14ac:dyDescent="0.25">
      <c r="A57" s="47" t="s">
        <v>85</v>
      </c>
      <c r="B57" s="152">
        <f>Customers!U80</f>
        <v>176374.9025970496</v>
      </c>
      <c r="C57" s="152">
        <f>Customers!V80</f>
        <v>125362.75213541488</v>
      </c>
      <c r="D57" s="152">
        <f t="shared" si="7"/>
        <v>301737.65473246446</v>
      </c>
      <c r="E57" s="85">
        <v>6.3979999999999995E-2</v>
      </c>
      <c r="F57" s="85">
        <v>6.368E-2</v>
      </c>
      <c r="G57" s="148">
        <f t="shared" si="8"/>
        <v>11284.466268159233</v>
      </c>
      <c r="H57" s="148">
        <f t="shared" si="8"/>
        <v>7983.1000559832191</v>
      </c>
      <c r="I57" s="58">
        <f>SUM(G57:H57)</f>
        <v>19267.566324142452</v>
      </c>
    </row>
    <row r="58" spans="1:9" x14ac:dyDescent="0.25">
      <c r="A58" s="71" t="s">
        <v>145</v>
      </c>
      <c r="B58" s="156">
        <f>SUM(B55:B57)</f>
        <v>1026381.1683986651</v>
      </c>
      <c r="C58" s="156">
        <f>SUM(C55:C57)</f>
        <v>1031527.0839159312</v>
      </c>
      <c r="D58" s="156">
        <f>SUM(D55:D57)</f>
        <v>2057908.252314596</v>
      </c>
      <c r="E58" s="64"/>
      <c r="F58" s="64"/>
      <c r="G58" s="155">
        <f>SUM(G49:G57)</f>
        <v>109766.96527218726</v>
      </c>
      <c r="H58" s="155">
        <f>SUM(H49:H57)</f>
        <v>100001.71724568334</v>
      </c>
      <c r="I58" s="154">
        <f>SUM(I49:I57)</f>
        <v>209768.68251787062</v>
      </c>
    </row>
    <row r="59" spans="1:9" x14ac:dyDescent="0.25">
      <c r="A59" s="47"/>
      <c r="B59" s="56"/>
      <c r="C59" s="56"/>
      <c r="D59" s="56"/>
      <c r="E59" s="52"/>
      <c r="F59" s="52"/>
      <c r="G59" s="35"/>
      <c r="H59" s="35"/>
      <c r="I59" s="35"/>
    </row>
    <row r="60" spans="1:9" x14ac:dyDescent="0.25">
      <c r="B60" s="53"/>
      <c r="C60" s="53"/>
      <c r="D60" s="53"/>
      <c r="G60" s="58"/>
      <c r="H60" s="58"/>
      <c r="I60" s="58"/>
    </row>
    <row r="61" spans="1:9" x14ac:dyDescent="0.25">
      <c r="A61" s="44"/>
      <c r="B61" s="219" t="s">
        <v>189</v>
      </c>
      <c r="C61" s="220"/>
      <c r="D61" s="221"/>
      <c r="E61" s="219" t="s">
        <v>64</v>
      </c>
      <c r="F61" s="221"/>
      <c r="G61" s="222" t="s">
        <v>65</v>
      </c>
      <c r="H61" s="223"/>
      <c r="I61" s="224"/>
    </row>
    <row r="62" spans="1:9" x14ac:dyDescent="0.25">
      <c r="A62" s="44"/>
      <c r="B62" s="54" t="s">
        <v>66</v>
      </c>
      <c r="C62" s="54" t="s">
        <v>67</v>
      </c>
      <c r="D62" s="54" t="s">
        <v>19</v>
      </c>
      <c r="E62" s="45" t="s">
        <v>66</v>
      </c>
      <c r="F62" s="45" t="s">
        <v>67</v>
      </c>
      <c r="G62" s="54" t="s">
        <v>66</v>
      </c>
      <c r="H62" s="54" t="s">
        <v>67</v>
      </c>
      <c r="I62" s="54" t="s">
        <v>19</v>
      </c>
    </row>
    <row r="63" spans="1:9" x14ac:dyDescent="0.25">
      <c r="A63" s="47"/>
      <c r="B63" s="49"/>
      <c r="C63" s="49"/>
      <c r="D63" s="49"/>
      <c r="E63" s="44"/>
      <c r="F63" s="44"/>
      <c r="G63" s="49"/>
      <c r="H63" s="49"/>
      <c r="I63" s="49"/>
    </row>
    <row r="64" spans="1:9" x14ac:dyDescent="0.25">
      <c r="A64" s="48" t="s">
        <v>86</v>
      </c>
      <c r="B64" s="57"/>
      <c r="C64" s="57"/>
      <c r="D64" s="56"/>
      <c r="E64" s="52"/>
      <c r="F64" s="52"/>
      <c r="G64" s="56"/>
      <c r="H64" s="56"/>
      <c r="I64" s="56"/>
    </row>
    <row r="65" spans="1:9" x14ac:dyDescent="0.25">
      <c r="A65" s="47" t="s">
        <v>69</v>
      </c>
      <c r="B65" s="56">
        <f>Customers!U38</f>
        <v>-24</v>
      </c>
      <c r="C65" s="56">
        <f>Customers!V38</f>
        <v>-38</v>
      </c>
      <c r="D65" s="56">
        <f>SUM(B65:C65)</f>
        <v>-62</v>
      </c>
      <c r="E65" s="70">
        <v>69.489999999999995</v>
      </c>
      <c r="F65" s="70">
        <v>69.489999999999995</v>
      </c>
      <c r="G65" s="145">
        <f>B65*E65</f>
        <v>-1667.7599999999998</v>
      </c>
      <c r="H65" s="145">
        <f>C65*F65</f>
        <v>-2640.62</v>
      </c>
      <c r="I65" s="146">
        <f>SUM(G65:H65)</f>
        <v>-4308.3799999999992</v>
      </c>
    </row>
    <row r="66" spans="1:9" x14ac:dyDescent="0.25">
      <c r="B66" s="56"/>
      <c r="C66" s="56"/>
      <c r="D66" s="56"/>
      <c r="E66" s="70"/>
      <c r="F66" s="70"/>
      <c r="G66" s="145"/>
      <c r="H66" s="145"/>
      <c r="I66" s="146"/>
    </row>
    <row r="67" spans="1:9" x14ac:dyDescent="0.25">
      <c r="A67" s="47" t="s">
        <v>80</v>
      </c>
      <c r="B67" s="56">
        <f>Customers!U92</f>
        <v>-2387.9002668087414</v>
      </c>
      <c r="C67" s="56">
        <f>Customers!V92</f>
        <v>-4318.0202154067219</v>
      </c>
      <c r="D67" s="56">
        <f t="shared" ref="D67:D68" si="9">SUM(B67:C67)</f>
        <v>-6705.9204822154634</v>
      </c>
      <c r="E67" s="83">
        <v>3.5</v>
      </c>
      <c r="F67" s="83">
        <v>2.88</v>
      </c>
      <c r="G67" s="67">
        <f t="shared" ref="G67:H68" si="10">B67*E67</f>
        <v>-8357.650933830595</v>
      </c>
      <c r="H67" s="67">
        <f t="shared" si="10"/>
        <v>-12435.898220371359</v>
      </c>
      <c r="I67" s="68">
        <f>SUM(G67:H67)</f>
        <v>-20793.549154201952</v>
      </c>
    </row>
    <row r="68" spans="1:9" x14ac:dyDescent="0.25">
      <c r="A68" s="47" t="s">
        <v>81</v>
      </c>
      <c r="B68" s="56">
        <f>B67</f>
        <v>-2387.9002668087414</v>
      </c>
      <c r="C68" s="56">
        <f>C67</f>
        <v>-4318.0202154067219</v>
      </c>
      <c r="D68" s="56">
        <f t="shared" si="9"/>
        <v>-6705.9204822154634</v>
      </c>
      <c r="E68" s="83">
        <v>2.13</v>
      </c>
      <c r="F68" s="83">
        <v>2.13</v>
      </c>
      <c r="G68" s="49">
        <f t="shared" si="10"/>
        <v>-5086.2275683026191</v>
      </c>
      <c r="H68" s="49">
        <f t="shared" si="10"/>
        <v>-9197.3830588163164</v>
      </c>
      <c r="I68" s="35">
        <f>SUM(G68:H68)</f>
        <v>-14283.610627118935</v>
      </c>
    </row>
    <row r="69" spans="1:9" x14ac:dyDescent="0.25">
      <c r="A69" s="47"/>
      <c r="B69" s="56"/>
      <c r="C69" s="56"/>
      <c r="D69" s="56"/>
      <c r="E69" s="69"/>
      <c r="F69" s="69"/>
      <c r="G69" s="49"/>
      <c r="H69" s="49"/>
      <c r="I69" s="35"/>
    </row>
    <row r="70" spans="1:9" x14ac:dyDescent="0.25">
      <c r="A70" s="47" t="s">
        <v>82</v>
      </c>
      <c r="B70" s="57"/>
      <c r="C70" s="57"/>
      <c r="D70" s="57"/>
      <c r="E70" s="50"/>
      <c r="F70" s="50"/>
      <c r="G70" s="49"/>
      <c r="H70" s="49"/>
      <c r="I70" s="49"/>
    </row>
    <row r="71" spans="1:9" x14ac:dyDescent="0.25">
      <c r="A71" s="47" t="s">
        <v>83</v>
      </c>
      <c r="B71" s="56">
        <f>Customers!U59</f>
        <v>-346896.64864895324</v>
      </c>
      <c r="C71" s="56">
        <f>Customers!V59</f>
        <v>-614043.53566442733</v>
      </c>
      <c r="D71" s="56">
        <f>SUM(B71:C71)</f>
        <v>-960940.18431338063</v>
      </c>
      <c r="E71" s="84">
        <v>0.10817</v>
      </c>
      <c r="F71" s="84">
        <v>8.2720000000000002E-2</v>
      </c>
      <c r="G71" s="49">
        <f t="shared" ref="G71:H73" si="11">B71*E71</f>
        <v>-37523.810484357273</v>
      </c>
      <c r="H71" s="49">
        <f t="shared" si="11"/>
        <v>-50793.681270161433</v>
      </c>
      <c r="I71" s="35">
        <f>SUM(G71:H71)</f>
        <v>-88317.491754518705</v>
      </c>
    </row>
    <row r="72" spans="1:9" x14ac:dyDescent="0.25">
      <c r="A72" s="47" t="s">
        <v>84</v>
      </c>
      <c r="B72" s="56">
        <f>Customers!U70</f>
        <v>-332168.82644878974</v>
      </c>
      <c r="C72" s="56">
        <f>Customers!V70</f>
        <v>-447502.16450128192</v>
      </c>
      <c r="D72" s="56">
        <f>SUM(B72:C72)</f>
        <v>-779670.99095007172</v>
      </c>
      <c r="E72" s="84">
        <v>8.4720000000000004E-2</v>
      </c>
      <c r="F72" s="84">
        <v>6.7049999999999998E-2</v>
      </c>
      <c r="G72" s="49">
        <f t="shared" si="11"/>
        <v>-28141.342976741467</v>
      </c>
      <c r="H72" s="49">
        <f t="shared" si="11"/>
        <v>-30005.020129810953</v>
      </c>
      <c r="I72" s="35">
        <f>SUM(G72:H72)</f>
        <v>-58146.363106552424</v>
      </c>
    </row>
    <row r="73" spans="1:9" x14ac:dyDescent="0.25">
      <c r="A73" s="47" t="s">
        <v>85</v>
      </c>
      <c r="B73" s="152">
        <f>Customers!U81</f>
        <v>-96005.417614799444</v>
      </c>
      <c r="C73" s="152">
        <f>Customers!V81</f>
        <v>-84774.808129599143</v>
      </c>
      <c r="D73" s="152">
        <f>SUM(B73:C73)</f>
        <v>-180780.2257443986</v>
      </c>
      <c r="E73" s="85">
        <v>7.6649999999999996E-2</v>
      </c>
      <c r="F73" s="85">
        <v>6.5799999999999997E-2</v>
      </c>
      <c r="G73" s="148">
        <f t="shared" si="11"/>
        <v>-7358.8152601743768</v>
      </c>
      <c r="H73" s="148">
        <f t="shared" si="11"/>
        <v>-5578.1823749276236</v>
      </c>
      <c r="I73" s="58">
        <f>SUM(G73:H73)</f>
        <v>-12936.997635102001</v>
      </c>
    </row>
    <row r="74" spans="1:9" x14ac:dyDescent="0.25">
      <c r="A74" s="71" t="s">
        <v>145</v>
      </c>
      <c r="B74" s="156">
        <f>SUM(B71:B73)</f>
        <v>-775070.89271254244</v>
      </c>
      <c r="C74" s="156">
        <f>SUM(C71:C73)</f>
        <v>-1146320.5082953083</v>
      </c>
      <c r="D74" s="156">
        <f>SUM(D71:D73)</f>
        <v>-1921391.4010078509</v>
      </c>
      <c r="E74" s="64"/>
      <c r="F74" s="64"/>
      <c r="G74" s="155">
        <f>SUM(G65:G73)</f>
        <v>-88135.607223406332</v>
      </c>
      <c r="H74" s="155">
        <f>SUM(H65:H73)</f>
        <v>-110650.7850540877</v>
      </c>
      <c r="I74" s="154">
        <f>SUM(I65:I73)</f>
        <v>-198786.39227749401</v>
      </c>
    </row>
    <row r="75" spans="1:9" x14ac:dyDescent="0.25">
      <c r="A75" s="47"/>
      <c r="B75" s="56"/>
      <c r="C75" s="56"/>
      <c r="D75" s="56"/>
      <c r="E75" s="52"/>
      <c r="F75" s="52"/>
      <c r="G75" s="35"/>
      <c r="H75" s="35"/>
      <c r="I75" s="35"/>
    </row>
    <row r="77" spans="1:9" x14ac:dyDescent="0.25">
      <c r="C77" s="59" t="s">
        <v>140</v>
      </c>
      <c r="D77" s="60">
        <f>SUM(D18,D30,D42,D58,D74)</f>
        <v>11645992.371876437</v>
      </c>
      <c r="E77" s="35"/>
      <c r="F77" s="35"/>
      <c r="G77" s="35"/>
      <c r="H77" s="35"/>
      <c r="I77" s="35"/>
    </row>
    <row r="78" spans="1:9" ht="15.75" thickBot="1" x14ac:dyDescent="0.3">
      <c r="C78" s="59" t="s">
        <v>139</v>
      </c>
      <c r="D78" s="60">
        <f>SUM(D51,D67)</f>
        <v>-431.30054115226358</v>
      </c>
      <c r="E78" s="35"/>
      <c r="F78" s="35"/>
      <c r="G78" s="35"/>
      <c r="H78" s="147" t="s">
        <v>1</v>
      </c>
      <c r="I78" s="157">
        <f>SUM(I74,I58,I42,I30,I18)</f>
        <v>1578808.5328310225</v>
      </c>
    </row>
    <row r="79" spans="1:9" ht="15.75" thickTop="1" x14ac:dyDescent="0.25"/>
  </sheetData>
  <mergeCells count="15">
    <mergeCell ref="E9:F9"/>
    <mergeCell ref="E21:F21"/>
    <mergeCell ref="E33:F33"/>
    <mergeCell ref="E45:F45"/>
    <mergeCell ref="E61:F61"/>
    <mergeCell ref="B9:D9"/>
    <mergeCell ref="B21:D21"/>
    <mergeCell ref="B33:D33"/>
    <mergeCell ref="B45:D45"/>
    <mergeCell ref="B61:D61"/>
    <mergeCell ref="G9:I9"/>
    <mergeCell ref="G21:I21"/>
    <mergeCell ref="G33:I33"/>
    <mergeCell ref="G45:I45"/>
    <mergeCell ref="G61:I61"/>
  </mergeCells>
  <pageMargins left="0.7" right="0.7" top="0.75" bottom="0.75" header="0.3" footer="0.3"/>
  <pageSetup scale="81" fitToHeight="0" orientation="landscape" r:id="rId1"/>
  <headerFooter>
    <oddFooter>Page &amp;P of &amp;N</oddFooter>
  </headerFooter>
  <rowBreaks count="1" manualBreakCount="1">
    <brk id="4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9"/>
  <sheetViews>
    <sheetView topLeftCell="F1" zoomScale="90" zoomScaleNormal="90" workbookViewId="0">
      <selection activeCell="L27" sqref="L27"/>
    </sheetView>
  </sheetViews>
  <sheetFormatPr defaultRowHeight="15" x14ac:dyDescent="0.25"/>
  <cols>
    <col min="2" max="2" width="20.5703125" bestFit="1" customWidth="1"/>
    <col min="3" max="3" width="23.85546875" bestFit="1" customWidth="1"/>
    <col min="4" max="4" width="5.85546875" bestFit="1" customWidth="1"/>
    <col min="5" max="5" width="6.140625" bestFit="1" customWidth="1"/>
    <col min="6" max="6" width="11.140625" bestFit="1" customWidth="1"/>
    <col min="7" max="18" width="9.5703125" bestFit="1" customWidth="1"/>
    <col min="19" max="22" width="9.5703125" style="187" customWidth="1"/>
    <col min="23" max="25" width="11.140625" bestFit="1" customWidth="1"/>
    <col min="26" max="26" width="8.42578125" bestFit="1" customWidth="1"/>
    <col min="27" max="27" width="7.140625" bestFit="1" customWidth="1"/>
  </cols>
  <sheetData>
    <row r="2" spans="1:27" x14ac:dyDescent="0.25">
      <c r="M2">
        <v>133889</v>
      </c>
      <c r="N2">
        <v>134159</v>
      </c>
      <c r="O2">
        <v>133630</v>
      </c>
      <c r="P2">
        <v>134454</v>
      </c>
      <c r="Q2">
        <v>134321</v>
      </c>
      <c r="R2">
        <v>132917</v>
      </c>
    </row>
    <row r="3" spans="1:27" x14ac:dyDescent="0.25">
      <c r="M3">
        <v>78005</v>
      </c>
      <c r="N3">
        <v>75622</v>
      </c>
      <c r="O3">
        <v>95150</v>
      </c>
      <c r="P3">
        <v>105780</v>
      </c>
      <c r="Q3">
        <v>102527</v>
      </c>
      <c r="R3">
        <v>96954</v>
      </c>
    </row>
    <row r="4" spans="1:27" x14ac:dyDescent="0.25">
      <c r="A4" t="s">
        <v>141</v>
      </c>
      <c r="M4">
        <v>18203</v>
      </c>
      <c r="N4">
        <v>18440</v>
      </c>
      <c r="O4">
        <v>18438</v>
      </c>
      <c r="P4">
        <v>18594</v>
      </c>
      <c r="Q4">
        <v>18610</v>
      </c>
      <c r="R4">
        <v>18365</v>
      </c>
    </row>
    <row r="5" spans="1:27" x14ac:dyDescent="0.25">
      <c r="A5" t="s">
        <v>142</v>
      </c>
      <c r="M5">
        <v>7470</v>
      </c>
      <c r="N5">
        <v>7398</v>
      </c>
      <c r="O5">
        <v>8221</v>
      </c>
      <c r="P5">
        <v>8839</v>
      </c>
      <c r="Q5">
        <v>8623</v>
      </c>
      <c r="R5">
        <v>8318</v>
      </c>
    </row>
    <row r="6" spans="1:27" x14ac:dyDescent="0.25">
      <c r="A6" t="s">
        <v>143</v>
      </c>
      <c r="M6">
        <v>3073</v>
      </c>
      <c r="N6">
        <v>3093</v>
      </c>
      <c r="O6">
        <v>3049</v>
      </c>
      <c r="P6">
        <v>3094</v>
      </c>
      <c r="Q6">
        <v>3076</v>
      </c>
      <c r="R6">
        <v>3111</v>
      </c>
    </row>
    <row r="7" spans="1:27" x14ac:dyDescent="0.25">
      <c r="A7" t="s">
        <v>216</v>
      </c>
      <c r="M7">
        <v>1951</v>
      </c>
      <c r="N7">
        <v>1837</v>
      </c>
      <c r="O7">
        <v>1896</v>
      </c>
      <c r="P7">
        <v>2070</v>
      </c>
      <c r="Q7">
        <v>2032</v>
      </c>
      <c r="R7">
        <v>1969</v>
      </c>
    </row>
    <row r="8" spans="1:27" x14ac:dyDescent="0.25">
      <c r="G8">
        <v>43191</v>
      </c>
      <c r="H8">
        <v>43221</v>
      </c>
      <c r="I8">
        <v>43252</v>
      </c>
      <c r="J8">
        <v>43282</v>
      </c>
      <c r="K8">
        <v>43313</v>
      </c>
      <c r="L8">
        <v>43344</v>
      </c>
    </row>
    <row r="9" spans="1:27" ht="23.25" x14ac:dyDescent="0.35">
      <c r="A9" s="182" t="s">
        <v>156</v>
      </c>
    </row>
    <row r="10" spans="1:27" x14ac:dyDescent="0.25">
      <c r="A10" t="s">
        <v>217</v>
      </c>
      <c r="G10" s="27">
        <v>43374</v>
      </c>
      <c r="H10" s="27">
        <v>43405</v>
      </c>
      <c r="I10" s="28">
        <v>43435</v>
      </c>
      <c r="J10" s="28">
        <v>43466</v>
      </c>
      <c r="K10" s="28">
        <v>43497</v>
      </c>
      <c r="L10" s="28">
        <v>43525</v>
      </c>
      <c r="M10" s="27">
        <v>43556</v>
      </c>
      <c r="N10" s="27">
        <v>43586</v>
      </c>
      <c r="O10" s="27">
        <v>43617</v>
      </c>
      <c r="P10" s="27">
        <v>43647</v>
      </c>
      <c r="Q10" s="27">
        <v>43678</v>
      </c>
      <c r="R10" s="27">
        <v>43709</v>
      </c>
      <c r="S10" s="27">
        <v>43739</v>
      </c>
      <c r="T10" s="27">
        <v>43770</v>
      </c>
      <c r="U10" s="27">
        <v>43800</v>
      </c>
      <c r="V10" s="27">
        <v>43831</v>
      </c>
      <c r="W10" s="82"/>
    </row>
    <row r="11" spans="1:27" x14ac:dyDescent="0.25">
      <c r="A11" s="77" t="s">
        <v>64</v>
      </c>
      <c r="B11" s="77" t="s">
        <v>154</v>
      </c>
      <c r="C11" s="77" t="s">
        <v>153</v>
      </c>
      <c r="D11" s="76" t="s">
        <v>152</v>
      </c>
      <c r="E11" s="76" t="s">
        <v>151</v>
      </c>
      <c r="F11" s="76" t="s">
        <v>150</v>
      </c>
      <c r="G11" s="29" t="s">
        <v>90</v>
      </c>
      <c r="H11" s="29" t="s">
        <v>91</v>
      </c>
      <c r="I11" s="30" t="s">
        <v>92</v>
      </c>
      <c r="J11" s="30" t="s">
        <v>93</v>
      </c>
      <c r="K11" s="30" t="s">
        <v>94</v>
      </c>
      <c r="L11" s="30" t="s">
        <v>95</v>
      </c>
      <c r="M11" s="29" t="s">
        <v>96</v>
      </c>
      <c r="N11" s="29" t="s">
        <v>97</v>
      </c>
      <c r="O11" s="29" t="s">
        <v>98</v>
      </c>
      <c r="P11" s="29" t="s">
        <v>99</v>
      </c>
      <c r="Q11" s="29" t="s">
        <v>100</v>
      </c>
      <c r="R11" s="29" t="s">
        <v>101</v>
      </c>
      <c r="S11" s="29" t="s">
        <v>218</v>
      </c>
      <c r="T11" s="29" t="s">
        <v>219</v>
      </c>
      <c r="U11" s="29" t="s">
        <v>220</v>
      </c>
      <c r="V11" s="29" t="s">
        <v>221</v>
      </c>
      <c r="W11" s="183" t="s">
        <v>19</v>
      </c>
      <c r="X11" s="36" t="s">
        <v>66</v>
      </c>
      <c r="Y11" s="31" t="s">
        <v>67</v>
      </c>
      <c r="Z11" s="36" t="s">
        <v>66</v>
      </c>
      <c r="AA11" s="31" t="s">
        <v>67</v>
      </c>
    </row>
    <row r="12" spans="1:27" x14ac:dyDescent="0.25">
      <c r="A12" t="s">
        <v>102</v>
      </c>
      <c r="B12" t="s">
        <v>20</v>
      </c>
      <c r="C12" t="s">
        <v>149</v>
      </c>
      <c r="D12" s="73">
        <v>1</v>
      </c>
      <c r="E12" s="158">
        <v>0</v>
      </c>
      <c r="F12" s="158">
        <v>600</v>
      </c>
      <c r="G12" s="184">
        <v>132951</v>
      </c>
      <c r="H12" s="184">
        <v>133135</v>
      </c>
      <c r="I12" s="184">
        <v>133819</v>
      </c>
      <c r="J12" s="184">
        <v>133881</v>
      </c>
      <c r="K12" s="184">
        <v>132976</v>
      </c>
      <c r="L12" s="184">
        <v>133857</v>
      </c>
      <c r="M12" s="184">
        <v>133898</v>
      </c>
      <c r="N12" s="184">
        <v>134165</v>
      </c>
      <c r="O12" s="184">
        <v>133702</v>
      </c>
      <c r="P12" s="184">
        <v>134237</v>
      </c>
      <c r="Q12" s="184">
        <v>133919</v>
      </c>
      <c r="R12" s="184">
        <v>132810</v>
      </c>
      <c r="S12" s="184">
        <v>133398</v>
      </c>
      <c r="T12" s="184">
        <v>132926</v>
      </c>
      <c r="U12" s="184">
        <v>133391</v>
      </c>
      <c r="V12" s="184">
        <v>133950</v>
      </c>
      <c r="W12" s="185">
        <f>SUM(K12:V12)</f>
        <v>1603229</v>
      </c>
      <c r="X12" s="35">
        <f>SUM(O12:R12)</f>
        <v>534668</v>
      </c>
      <c r="Y12" s="35">
        <f>SUM(K12:N12,S12:V12)</f>
        <v>1068561</v>
      </c>
      <c r="Z12" s="34">
        <f>X12/W12</f>
        <v>0.33349446647983538</v>
      </c>
      <c r="AA12" s="34">
        <f>Y12/W12</f>
        <v>0.66650553352016462</v>
      </c>
    </row>
    <row r="13" spans="1:27" x14ac:dyDescent="0.25">
      <c r="A13" t="s">
        <v>102</v>
      </c>
      <c r="B13" t="s">
        <v>20</v>
      </c>
      <c r="C13" t="s">
        <v>149</v>
      </c>
      <c r="D13" s="72">
        <v>2</v>
      </c>
      <c r="E13" s="159">
        <v>601</v>
      </c>
      <c r="F13" s="159">
        <v>1000000</v>
      </c>
      <c r="G13" s="184">
        <v>87195</v>
      </c>
      <c r="H13" s="184">
        <v>82950</v>
      </c>
      <c r="I13" s="184">
        <v>91520</v>
      </c>
      <c r="J13" s="184">
        <v>93544</v>
      </c>
      <c r="K13" s="184">
        <v>93553</v>
      </c>
      <c r="L13" s="184">
        <v>93443</v>
      </c>
      <c r="M13" s="184">
        <v>78011</v>
      </c>
      <c r="N13" s="184">
        <v>66316</v>
      </c>
      <c r="O13" s="184">
        <v>79367</v>
      </c>
      <c r="P13" s="184">
        <v>97623</v>
      </c>
      <c r="Q13" s="184">
        <v>102925</v>
      </c>
      <c r="R13" s="184">
        <v>101512</v>
      </c>
      <c r="S13" s="184">
        <v>89175</v>
      </c>
      <c r="T13" s="184">
        <v>80113</v>
      </c>
      <c r="U13" s="184">
        <v>89910</v>
      </c>
      <c r="V13" s="184">
        <v>92570</v>
      </c>
      <c r="W13" s="185">
        <f t="shared" ref="W13:W47" si="0">SUM(K13:V13)</f>
        <v>1064518</v>
      </c>
      <c r="X13" s="188">
        <f t="shared" ref="X13:X47" si="1">SUM(O13:R13)</f>
        <v>381427</v>
      </c>
      <c r="Y13" s="188">
        <f t="shared" ref="Y13:Y47" si="2">SUM(K13:N13,S13:V13)</f>
        <v>683091</v>
      </c>
      <c r="Z13" s="34">
        <f t="shared" ref="Z13:Z17" si="3">X13/W13</f>
        <v>0.35830958236497645</v>
      </c>
      <c r="AA13" s="34">
        <f t="shared" ref="AA13:AA17" si="4">Y13/W13</f>
        <v>0.64169041763502355</v>
      </c>
    </row>
    <row r="14" spans="1:27" x14ac:dyDescent="0.25">
      <c r="A14" t="s">
        <v>114</v>
      </c>
      <c r="B14" t="s">
        <v>146</v>
      </c>
      <c r="C14" t="s">
        <v>149</v>
      </c>
      <c r="D14" s="72">
        <v>1</v>
      </c>
      <c r="E14" s="159">
        <v>0</v>
      </c>
      <c r="F14" s="159">
        <v>700</v>
      </c>
      <c r="G14" s="184">
        <v>18337</v>
      </c>
      <c r="H14" s="184">
        <v>18349</v>
      </c>
      <c r="I14" s="184">
        <v>18611</v>
      </c>
      <c r="J14" s="184">
        <v>18574</v>
      </c>
      <c r="K14" s="184">
        <v>18272</v>
      </c>
      <c r="L14" s="184">
        <v>18303</v>
      </c>
      <c r="M14" s="184">
        <v>18203</v>
      </c>
      <c r="N14" s="184">
        <v>18246</v>
      </c>
      <c r="O14" s="184">
        <v>18171</v>
      </c>
      <c r="P14" s="184">
        <v>18295</v>
      </c>
      <c r="Q14" s="184">
        <v>18192</v>
      </c>
      <c r="R14" s="184">
        <v>18083</v>
      </c>
      <c r="S14" s="184">
        <v>18337</v>
      </c>
      <c r="T14" s="184">
        <v>18349</v>
      </c>
      <c r="U14" s="184">
        <v>18611</v>
      </c>
      <c r="V14" s="184">
        <v>18574</v>
      </c>
      <c r="W14" s="185">
        <f t="shared" si="0"/>
        <v>219636</v>
      </c>
      <c r="X14" s="188">
        <f t="shared" si="1"/>
        <v>72741</v>
      </c>
      <c r="Y14" s="188">
        <f t="shared" si="2"/>
        <v>146895</v>
      </c>
      <c r="Z14" s="34">
        <f t="shared" si="3"/>
        <v>0.33118887614052339</v>
      </c>
      <c r="AA14" s="34">
        <f t="shared" si="4"/>
        <v>0.66881112385947661</v>
      </c>
    </row>
    <row r="15" spans="1:27" x14ac:dyDescent="0.25">
      <c r="A15" t="s">
        <v>114</v>
      </c>
      <c r="B15" t="s">
        <v>146</v>
      </c>
      <c r="C15" t="s">
        <v>149</v>
      </c>
      <c r="D15" s="72">
        <v>2</v>
      </c>
      <c r="E15" s="159">
        <v>701</v>
      </c>
      <c r="F15" s="159">
        <v>1000000</v>
      </c>
      <c r="G15" s="184">
        <v>7888</v>
      </c>
      <c r="H15" s="184">
        <v>7722</v>
      </c>
      <c r="I15" s="184">
        <v>8434</v>
      </c>
      <c r="J15" s="184">
        <v>8462</v>
      </c>
      <c r="K15" s="184">
        <v>8577</v>
      </c>
      <c r="L15" s="184">
        <v>8557</v>
      </c>
      <c r="M15" s="184">
        <v>7470</v>
      </c>
      <c r="N15" s="184">
        <v>6799</v>
      </c>
      <c r="O15" s="184">
        <v>7294</v>
      </c>
      <c r="P15" s="184">
        <v>8210</v>
      </c>
      <c r="Q15" s="184">
        <v>8486</v>
      </c>
      <c r="R15" s="184">
        <v>8410</v>
      </c>
      <c r="S15" s="184">
        <v>7888</v>
      </c>
      <c r="T15" s="184">
        <v>7722</v>
      </c>
      <c r="U15" s="184">
        <v>8434</v>
      </c>
      <c r="V15" s="184">
        <v>8462</v>
      </c>
      <c r="W15" s="185">
        <f t="shared" si="0"/>
        <v>96309</v>
      </c>
      <c r="X15" s="188">
        <f t="shared" si="1"/>
        <v>32400</v>
      </c>
      <c r="Y15" s="188">
        <f t="shared" si="2"/>
        <v>63909</v>
      </c>
      <c r="Z15" s="34">
        <f t="shared" si="3"/>
        <v>0.33641715727502103</v>
      </c>
      <c r="AA15" s="34">
        <f t="shared" si="4"/>
        <v>0.66358284272497903</v>
      </c>
    </row>
    <row r="16" spans="1:27" x14ac:dyDescent="0.25">
      <c r="A16" t="s">
        <v>54</v>
      </c>
      <c r="B16" t="s">
        <v>29</v>
      </c>
      <c r="C16" t="s">
        <v>149</v>
      </c>
      <c r="D16" s="72">
        <v>1</v>
      </c>
      <c r="E16" s="159">
        <v>0</v>
      </c>
      <c r="F16" s="159">
        <v>700</v>
      </c>
      <c r="G16" s="184">
        <v>3074</v>
      </c>
      <c r="H16" s="184">
        <v>3071</v>
      </c>
      <c r="I16" s="184">
        <v>3085</v>
      </c>
      <c r="J16" s="184">
        <v>3100</v>
      </c>
      <c r="K16" s="184">
        <v>3073</v>
      </c>
      <c r="L16" s="184">
        <v>3092</v>
      </c>
      <c r="M16" s="184">
        <v>3077</v>
      </c>
      <c r="N16" s="184">
        <v>3053</v>
      </c>
      <c r="O16" s="184">
        <v>3054</v>
      </c>
      <c r="P16" s="184">
        <v>3066</v>
      </c>
      <c r="Q16" s="184">
        <v>3042</v>
      </c>
      <c r="R16" s="184">
        <v>3022</v>
      </c>
      <c r="S16" s="184">
        <v>3074</v>
      </c>
      <c r="T16" s="184">
        <v>3071</v>
      </c>
      <c r="U16" s="184">
        <v>3085</v>
      </c>
      <c r="V16" s="184">
        <v>3100</v>
      </c>
      <c r="W16" s="185">
        <f t="shared" si="0"/>
        <v>36809</v>
      </c>
      <c r="X16" s="188">
        <f t="shared" si="1"/>
        <v>12184</v>
      </c>
      <c r="Y16" s="188">
        <f t="shared" si="2"/>
        <v>24625</v>
      </c>
      <c r="Z16" s="34">
        <f t="shared" si="3"/>
        <v>0.33100600396642127</v>
      </c>
      <c r="AA16" s="34">
        <f t="shared" si="4"/>
        <v>0.66899399603357879</v>
      </c>
    </row>
    <row r="17" spans="1:27" x14ac:dyDescent="0.25">
      <c r="A17" t="s">
        <v>54</v>
      </c>
      <c r="B17" t="s">
        <v>29</v>
      </c>
      <c r="C17" t="s">
        <v>149</v>
      </c>
      <c r="D17" s="72">
        <v>2</v>
      </c>
      <c r="E17" s="159">
        <v>701</v>
      </c>
      <c r="F17" s="159">
        <v>1000000</v>
      </c>
      <c r="G17" s="184">
        <v>1899</v>
      </c>
      <c r="H17" s="184">
        <v>1996</v>
      </c>
      <c r="I17" s="184">
        <v>2223</v>
      </c>
      <c r="J17" s="184">
        <v>2249</v>
      </c>
      <c r="K17" s="184">
        <v>2278</v>
      </c>
      <c r="L17" s="184">
        <v>2268</v>
      </c>
      <c r="M17" s="184">
        <v>1951</v>
      </c>
      <c r="N17" s="184">
        <v>1676</v>
      </c>
      <c r="O17" s="184">
        <v>1725</v>
      </c>
      <c r="P17" s="184">
        <v>1926</v>
      </c>
      <c r="Q17" s="184">
        <v>1988</v>
      </c>
      <c r="R17" s="184">
        <v>1986</v>
      </c>
      <c r="S17" s="184">
        <v>1899</v>
      </c>
      <c r="T17" s="184">
        <v>1996</v>
      </c>
      <c r="U17" s="184">
        <v>2223</v>
      </c>
      <c r="V17" s="184">
        <v>2249</v>
      </c>
      <c r="W17" s="185">
        <f t="shared" si="0"/>
        <v>24165</v>
      </c>
      <c r="X17" s="188">
        <f t="shared" si="1"/>
        <v>7625</v>
      </c>
      <c r="Y17" s="188">
        <f t="shared" si="2"/>
        <v>16540</v>
      </c>
      <c r="Z17" s="34">
        <f t="shared" si="3"/>
        <v>0.3155390026898407</v>
      </c>
      <c r="AA17" s="34">
        <f t="shared" si="4"/>
        <v>0.6844609973101593</v>
      </c>
    </row>
    <row r="18" spans="1:27" x14ac:dyDescent="0.25">
      <c r="A18" t="s">
        <v>102</v>
      </c>
      <c r="B18" t="s">
        <v>20</v>
      </c>
      <c r="C18" t="s">
        <v>148</v>
      </c>
      <c r="D18" s="72"/>
      <c r="E18" s="159"/>
      <c r="F18" s="159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5">
        <f t="shared" si="0"/>
        <v>0</v>
      </c>
      <c r="X18" s="188">
        <f t="shared" si="1"/>
        <v>0</v>
      </c>
      <c r="Y18" s="188">
        <f t="shared" si="2"/>
        <v>0</v>
      </c>
      <c r="Z18" s="34">
        <f>IFERROR(X18/W18,0)</f>
        <v>0</v>
      </c>
      <c r="AA18" s="34">
        <f>IFERROR(Y18/W18,0)</f>
        <v>0</v>
      </c>
    </row>
    <row r="19" spans="1:27" x14ac:dyDescent="0.25">
      <c r="A19" t="s">
        <v>114</v>
      </c>
      <c r="B19" t="s">
        <v>146</v>
      </c>
      <c r="C19" t="s">
        <v>148</v>
      </c>
      <c r="D19" s="72"/>
      <c r="E19" s="159"/>
      <c r="F19" s="159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5">
        <f t="shared" si="0"/>
        <v>0</v>
      </c>
      <c r="X19" s="188">
        <f t="shared" si="1"/>
        <v>0</v>
      </c>
      <c r="Y19" s="188">
        <f t="shared" si="2"/>
        <v>0</v>
      </c>
      <c r="Z19" s="34">
        <f t="shared" ref="Z19:Z47" si="5">IFERROR(X19/W19,0)</f>
        <v>0</v>
      </c>
      <c r="AA19" s="34">
        <f t="shared" ref="AA19:AA47" si="6">IFERROR(Y19/W19,0)</f>
        <v>0</v>
      </c>
    </row>
    <row r="20" spans="1:27" x14ac:dyDescent="0.25">
      <c r="A20" t="s">
        <v>54</v>
      </c>
      <c r="B20" t="s">
        <v>29</v>
      </c>
      <c r="C20" t="s">
        <v>148</v>
      </c>
      <c r="D20" s="72"/>
      <c r="E20" s="159"/>
      <c r="F20" s="159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5">
        <f t="shared" si="0"/>
        <v>0</v>
      </c>
      <c r="X20" s="188">
        <f t="shared" si="1"/>
        <v>0</v>
      </c>
      <c r="Y20" s="188">
        <f t="shared" si="2"/>
        <v>0</v>
      </c>
      <c r="Z20" s="34">
        <f t="shared" si="5"/>
        <v>0</v>
      </c>
      <c r="AA20" s="34">
        <f t="shared" si="6"/>
        <v>0</v>
      </c>
    </row>
    <row r="21" spans="1:27" x14ac:dyDescent="0.25">
      <c r="A21" t="s">
        <v>53</v>
      </c>
      <c r="B21" t="s">
        <v>28</v>
      </c>
      <c r="C21" t="s">
        <v>148</v>
      </c>
      <c r="D21" s="72"/>
      <c r="E21" s="159"/>
      <c r="F21" s="159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5">
        <f t="shared" si="0"/>
        <v>0</v>
      </c>
      <c r="X21" s="188">
        <f t="shared" si="1"/>
        <v>0</v>
      </c>
      <c r="Y21" s="188">
        <f t="shared" si="2"/>
        <v>0</v>
      </c>
      <c r="Z21" s="34">
        <f t="shared" si="5"/>
        <v>0</v>
      </c>
      <c r="AA21" s="34">
        <f t="shared" si="6"/>
        <v>0</v>
      </c>
    </row>
    <row r="22" spans="1:27" x14ac:dyDescent="0.25">
      <c r="A22" t="s">
        <v>55</v>
      </c>
      <c r="B22" t="s">
        <v>30</v>
      </c>
      <c r="C22" t="s">
        <v>148</v>
      </c>
      <c r="D22" s="72"/>
      <c r="E22" s="159"/>
      <c r="F22" s="159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5">
        <f t="shared" si="0"/>
        <v>0</v>
      </c>
      <c r="X22" s="188">
        <f t="shared" si="1"/>
        <v>0</v>
      </c>
      <c r="Y22" s="188">
        <f t="shared" si="2"/>
        <v>0</v>
      </c>
      <c r="Z22" s="34">
        <f t="shared" si="5"/>
        <v>0</v>
      </c>
      <c r="AA22" s="34">
        <f t="shared" si="6"/>
        <v>0</v>
      </c>
    </row>
    <row r="23" spans="1:27" x14ac:dyDescent="0.25">
      <c r="A23" t="s">
        <v>53</v>
      </c>
      <c r="B23" t="s">
        <v>28</v>
      </c>
      <c r="C23" t="s">
        <v>81</v>
      </c>
      <c r="D23" s="72"/>
      <c r="E23" s="159"/>
      <c r="F23" s="159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5">
        <f t="shared" si="0"/>
        <v>0</v>
      </c>
      <c r="X23" s="188">
        <f t="shared" si="1"/>
        <v>0</v>
      </c>
      <c r="Y23" s="188">
        <f t="shared" si="2"/>
        <v>0</v>
      </c>
      <c r="Z23" s="34">
        <f t="shared" si="5"/>
        <v>0</v>
      </c>
      <c r="AA23" s="34">
        <f t="shared" si="6"/>
        <v>0</v>
      </c>
    </row>
    <row r="24" spans="1:27" x14ac:dyDescent="0.25">
      <c r="A24" t="s">
        <v>55</v>
      </c>
      <c r="B24" t="s">
        <v>30</v>
      </c>
      <c r="C24" t="s">
        <v>81</v>
      </c>
      <c r="D24" s="72"/>
      <c r="E24" s="159"/>
      <c r="F24" s="159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5">
        <f t="shared" si="0"/>
        <v>0</v>
      </c>
      <c r="X24" s="188">
        <f t="shared" si="1"/>
        <v>0</v>
      </c>
      <c r="Y24" s="188">
        <f t="shared" si="2"/>
        <v>0</v>
      </c>
      <c r="Z24" s="34">
        <f t="shared" si="5"/>
        <v>0</v>
      </c>
      <c r="AA24" s="34">
        <f t="shared" si="6"/>
        <v>0</v>
      </c>
    </row>
    <row r="25" spans="1:27" x14ac:dyDescent="0.25">
      <c r="A25" t="s">
        <v>53</v>
      </c>
      <c r="B25" t="s">
        <v>28</v>
      </c>
      <c r="C25" t="s">
        <v>80</v>
      </c>
      <c r="D25" s="72"/>
      <c r="E25" s="159"/>
      <c r="F25" s="159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5">
        <f t="shared" si="0"/>
        <v>0</v>
      </c>
      <c r="X25" s="188">
        <f t="shared" si="1"/>
        <v>0</v>
      </c>
      <c r="Y25" s="188">
        <f t="shared" si="2"/>
        <v>0</v>
      </c>
      <c r="Z25" s="34">
        <f t="shared" si="5"/>
        <v>0</v>
      </c>
      <c r="AA25" s="34">
        <f t="shared" si="6"/>
        <v>0</v>
      </c>
    </row>
    <row r="26" spans="1:27" x14ac:dyDescent="0.25">
      <c r="A26" t="s">
        <v>55</v>
      </c>
      <c r="B26" t="s">
        <v>30</v>
      </c>
      <c r="C26" t="s">
        <v>80</v>
      </c>
      <c r="D26" s="72"/>
      <c r="E26" s="159"/>
      <c r="F26" s="159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5">
        <f t="shared" si="0"/>
        <v>0</v>
      </c>
      <c r="X26" s="188">
        <f t="shared" si="1"/>
        <v>0</v>
      </c>
      <c r="Y26" s="188">
        <f t="shared" si="2"/>
        <v>0</v>
      </c>
      <c r="Z26" s="34">
        <f t="shared" si="5"/>
        <v>0</v>
      </c>
      <c r="AA26" s="34">
        <f t="shared" si="6"/>
        <v>0</v>
      </c>
    </row>
    <row r="27" spans="1:27" x14ac:dyDescent="0.25">
      <c r="A27" t="s">
        <v>53</v>
      </c>
      <c r="B27" t="s">
        <v>28</v>
      </c>
      <c r="C27" t="s">
        <v>82</v>
      </c>
      <c r="D27" s="72">
        <v>1</v>
      </c>
      <c r="E27" s="159">
        <v>0</v>
      </c>
      <c r="F27" s="159">
        <v>150</v>
      </c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>
        <f t="shared" si="0"/>
        <v>0</v>
      </c>
      <c r="X27" s="188">
        <f t="shared" si="1"/>
        <v>0</v>
      </c>
      <c r="Y27" s="188">
        <f t="shared" si="2"/>
        <v>0</v>
      </c>
      <c r="Z27" s="34">
        <f t="shared" si="5"/>
        <v>0</v>
      </c>
      <c r="AA27" s="34">
        <f t="shared" si="6"/>
        <v>0</v>
      </c>
    </row>
    <row r="28" spans="1:27" x14ac:dyDescent="0.25">
      <c r="A28" t="s">
        <v>53</v>
      </c>
      <c r="B28" t="s">
        <v>28</v>
      </c>
      <c r="C28" t="s">
        <v>82</v>
      </c>
      <c r="D28" s="72">
        <v>2</v>
      </c>
      <c r="E28" s="159">
        <v>151</v>
      </c>
      <c r="F28" s="159">
        <v>200</v>
      </c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5">
        <f t="shared" si="0"/>
        <v>0</v>
      </c>
      <c r="X28" s="188">
        <f t="shared" si="1"/>
        <v>0</v>
      </c>
      <c r="Y28" s="188">
        <f t="shared" si="2"/>
        <v>0</v>
      </c>
      <c r="Z28" s="34">
        <f t="shared" si="5"/>
        <v>0</v>
      </c>
      <c r="AA28" s="34">
        <f t="shared" si="6"/>
        <v>0</v>
      </c>
    </row>
    <row r="29" spans="1:27" x14ac:dyDescent="0.25">
      <c r="A29" t="s">
        <v>53</v>
      </c>
      <c r="B29" t="s">
        <v>28</v>
      </c>
      <c r="C29" t="s">
        <v>82</v>
      </c>
      <c r="D29" s="72">
        <v>3</v>
      </c>
      <c r="E29" s="159">
        <v>201</v>
      </c>
      <c r="F29" s="159">
        <v>1000000</v>
      </c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5">
        <f t="shared" si="0"/>
        <v>0</v>
      </c>
      <c r="X29" s="188">
        <f t="shared" si="1"/>
        <v>0</v>
      </c>
      <c r="Y29" s="188">
        <f t="shared" si="2"/>
        <v>0</v>
      </c>
      <c r="Z29" s="34">
        <f t="shared" si="5"/>
        <v>0</v>
      </c>
      <c r="AA29" s="34">
        <f t="shared" si="6"/>
        <v>0</v>
      </c>
    </row>
    <row r="30" spans="1:27" x14ac:dyDescent="0.25">
      <c r="A30" t="s">
        <v>55</v>
      </c>
      <c r="B30" t="s">
        <v>30</v>
      </c>
      <c r="C30" t="s">
        <v>82</v>
      </c>
      <c r="D30" s="72">
        <v>1</v>
      </c>
      <c r="E30" s="159">
        <v>0</v>
      </c>
      <c r="F30" s="159">
        <v>150</v>
      </c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5">
        <f t="shared" si="0"/>
        <v>0</v>
      </c>
      <c r="X30" s="188">
        <f t="shared" si="1"/>
        <v>0</v>
      </c>
      <c r="Y30" s="188">
        <f t="shared" si="2"/>
        <v>0</v>
      </c>
      <c r="Z30" s="34">
        <f t="shared" si="5"/>
        <v>0</v>
      </c>
      <c r="AA30" s="34">
        <f t="shared" si="6"/>
        <v>0</v>
      </c>
    </row>
    <row r="31" spans="1:27" x14ac:dyDescent="0.25">
      <c r="A31" t="s">
        <v>55</v>
      </c>
      <c r="B31" t="s">
        <v>30</v>
      </c>
      <c r="C31" t="s">
        <v>82</v>
      </c>
      <c r="D31" s="72">
        <v>2</v>
      </c>
      <c r="E31" s="159">
        <v>151</v>
      </c>
      <c r="F31" s="159">
        <v>200</v>
      </c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5">
        <f t="shared" si="0"/>
        <v>0</v>
      </c>
      <c r="X31" s="188">
        <f t="shared" si="1"/>
        <v>0</v>
      </c>
      <c r="Y31" s="188">
        <f t="shared" si="2"/>
        <v>0</v>
      </c>
      <c r="Z31" s="34">
        <f t="shared" si="5"/>
        <v>0</v>
      </c>
      <c r="AA31" s="34">
        <f t="shared" si="6"/>
        <v>0</v>
      </c>
    </row>
    <row r="32" spans="1:27" x14ac:dyDescent="0.25">
      <c r="A32" t="s">
        <v>55</v>
      </c>
      <c r="B32" t="s">
        <v>30</v>
      </c>
      <c r="C32" t="s">
        <v>82</v>
      </c>
      <c r="D32" s="72">
        <v>3</v>
      </c>
      <c r="E32" s="159">
        <v>201</v>
      </c>
      <c r="F32" s="159">
        <v>1000000</v>
      </c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5">
        <f t="shared" si="0"/>
        <v>0</v>
      </c>
      <c r="X32" s="188">
        <f t="shared" si="1"/>
        <v>0</v>
      </c>
      <c r="Y32" s="188">
        <f t="shared" si="2"/>
        <v>0</v>
      </c>
      <c r="Z32" s="34">
        <f t="shared" si="5"/>
        <v>0</v>
      </c>
      <c r="AA32" s="34">
        <f t="shared" si="6"/>
        <v>0</v>
      </c>
    </row>
    <row r="33" spans="1:27" x14ac:dyDescent="0.25">
      <c r="A33" t="s">
        <v>102</v>
      </c>
      <c r="B33" t="s">
        <v>20</v>
      </c>
      <c r="C33" t="s">
        <v>74</v>
      </c>
      <c r="D33" s="72"/>
      <c r="E33" s="159"/>
      <c r="F33" s="159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5">
        <f t="shared" si="0"/>
        <v>0</v>
      </c>
      <c r="X33" s="188">
        <f t="shared" si="1"/>
        <v>0</v>
      </c>
      <c r="Y33" s="188">
        <f t="shared" si="2"/>
        <v>0</v>
      </c>
      <c r="Z33" s="34">
        <f t="shared" si="5"/>
        <v>0</v>
      </c>
      <c r="AA33" s="34">
        <f t="shared" si="6"/>
        <v>0</v>
      </c>
    </row>
    <row r="34" spans="1:27" x14ac:dyDescent="0.25">
      <c r="A34" t="s">
        <v>114</v>
      </c>
      <c r="B34" t="s">
        <v>146</v>
      </c>
      <c r="C34" t="s">
        <v>74</v>
      </c>
      <c r="D34" s="72"/>
      <c r="E34" s="159"/>
      <c r="F34" s="159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5">
        <f t="shared" si="0"/>
        <v>0</v>
      </c>
      <c r="X34" s="188">
        <f t="shared" si="1"/>
        <v>0</v>
      </c>
      <c r="Y34" s="188">
        <f t="shared" si="2"/>
        <v>0</v>
      </c>
      <c r="Z34" s="34">
        <f t="shared" si="5"/>
        <v>0</v>
      </c>
      <c r="AA34" s="34">
        <f t="shared" si="6"/>
        <v>0</v>
      </c>
    </row>
    <row r="35" spans="1:27" x14ac:dyDescent="0.25">
      <c r="A35" t="s">
        <v>54</v>
      </c>
      <c r="B35" t="s">
        <v>29</v>
      </c>
      <c r="C35" t="s">
        <v>74</v>
      </c>
      <c r="D35" s="72"/>
      <c r="E35" s="159"/>
      <c r="F35" s="159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5">
        <f t="shared" si="0"/>
        <v>0</v>
      </c>
      <c r="X35" s="188">
        <f t="shared" si="1"/>
        <v>0</v>
      </c>
      <c r="Y35" s="188">
        <f t="shared" si="2"/>
        <v>0</v>
      </c>
      <c r="Z35" s="34">
        <f t="shared" si="5"/>
        <v>0</v>
      </c>
      <c r="AA35" s="34">
        <f t="shared" si="6"/>
        <v>0</v>
      </c>
    </row>
    <row r="36" spans="1:27" x14ac:dyDescent="0.25">
      <c r="A36" t="s">
        <v>53</v>
      </c>
      <c r="B36" t="s">
        <v>28</v>
      </c>
      <c r="C36" t="s">
        <v>74</v>
      </c>
      <c r="D36" s="72"/>
      <c r="E36" s="159"/>
      <c r="F36" s="159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5">
        <f t="shared" si="0"/>
        <v>0</v>
      </c>
      <c r="X36" s="188">
        <f t="shared" si="1"/>
        <v>0</v>
      </c>
      <c r="Y36" s="188">
        <f t="shared" si="2"/>
        <v>0</v>
      </c>
      <c r="Z36" s="34">
        <f t="shared" si="5"/>
        <v>0</v>
      </c>
      <c r="AA36" s="34">
        <f t="shared" si="6"/>
        <v>0</v>
      </c>
    </row>
    <row r="37" spans="1:27" x14ac:dyDescent="0.25">
      <c r="A37" t="s">
        <v>55</v>
      </c>
      <c r="B37" t="s">
        <v>30</v>
      </c>
      <c r="C37" t="s">
        <v>74</v>
      </c>
      <c r="D37" s="72"/>
      <c r="E37" s="159"/>
      <c r="F37" s="159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5">
        <f t="shared" si="0"/>
        <v>0</v>
      </c>
      <c r="X37" s="188">
        <f t="shared" si="1"/>
        <v>0</v>
      </c>
      <c r="Y37" s="188">
        <f t="shared" si="2"/>
        <v>0</v>
      </c>
      <c r="Z37" s="34">
        <f t="shared" si="5"/>
        <v>0</v>
      </c>
      <c r="AA37" s="34">
        <f t="shared" si="6"/>
        <v>0</v>
      </c>
    </row>
    <row r="38" spans="1:27" x14ac:dyDescent="0.25">
      <c r="A38" t="s">
        <v>102</v>
      </c>
      <c r="B38" t="s">
        <v>20</v>
      </c>
      <c r="C38" t="s">
        <v>147</v>
      </c>
      <c r="D38" s="72"/>
      <c r="E38" s="159"/>
      <c r="F38" s="159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5">
        <f t="shared" si="0"/>
        <v>0</v>
      </c>
      <c r="X38" s="188">
        <f t="shared" si="1"/>
        <v>0</v>
      </c>
      <c r="Y38" s="188">
        <f t="shared" si="2"/>
        <v>0</v>
      </c>
      <c r="Z38" s="34">
        <f t="shared" si="5"/>
        <v>0</v>
      </c>
      <c r="AA38" s="34">
        <f t="shared" si="6"/>
        <v>0</v>
      </c>
    </row>
    <row r="39" spans="1:27" x14ac:dyDescent="0.25">
      <c r="A39" t="s">
        <v>114</v>
      </c>
      <c r="B39" t="s">
        <v>146</v>
      </c>
      <c r="C39" t="s">
        <v>147</v>
      </c>
      <c r="D39" s="72"/>
      <c r="E39" s="159"/>
      <c r="F39" s="159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5">
        <f t="shared" si="0"/>
        <v>0</v>
      </c>
      <c r="X39" s="188">
        <f t="shared" si="1"/>
        <v>0</v>
      </c>
      <c r="Y39" s="188">
        <f t="shared" si="2"/>
        <v>0</v>
      </c>
      <c r="Z39" s="34">
        <f t="shared" si="5"/>
        <v>0</v>
      </c>
      <c r="AA39" s="34">
        <f t="shared" si="6"/>
        <v>0</v>
      </c>
    </row>
    <row r="40" spans="1:27" x14ac:dyDescent="0.25">
      <c r="A40" t="s">
        <v>54</v>
      </c>
      <c r="B40" t="s">
        <v>29</v>
      </c>
      <c r="C40" t="s">
        <v>147</v>
      </c>
      <c r="D40" s="72"/>
      <c r="E40" s="159"/>
      <c r="F40" s="159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5">
        <f t="shared" si="0"/>
        <v>0</v>
      </c>
      <c r="X40" s="188">
        <f t="shared" si="1"/>
        <v>0</v>
      </c>
      <c r="Y40" s="188">
        <f t="shared" si="2"/>
        <v>0</v>
      </c>
      <c r="Z40" s="34">
        <f t="shared" si="5"/>
        <v>0</v>
      </c>
      <c r="AA40" s="34">
        <f t="shared" si="6"/>
        <v>0</v>
      </c>
    </row>
    <row r="41" spans="1:27" x14ac:dyDescent="0.25">
      <c r="A41" t="s">
        <v>53</v>
      </c>
      <c r="B41" t="s">
        <v>28</v>
      </c>
      <c r="C41" t="s">
        <v>147</v>
      </c>
      <c r="D41" s="72"/>
      <c r="E41" s="159"/>
      <c r="F41" s="159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>
        <f t="shared" si="0"/>
        <v>0</v>
      </c>
      <c r="X41" s="188">
        <f t="shared" si="1"/>
        <v>0</v>
      </c>
      <c r="Y41" s="188">
        <f t="shared" si="2"/>
        <v>0</v>
      </c>
      <c r="Z41" s="34">
        <f t="shared" si="5"/>
        <v>0</v>
      </c>
      <c r="AA41" s="34">
        <f t="shared" si="6"/>
        <v>0</v>
      </c>
    </row>
    <row r="42" spans="1:27" x14ac:dyDescent="0.25">
      <c r="A42" t="s">
        <v>55</v>
      </c>
      <c r="B42" t="s">
        <v>30</v>
      </c>
      <c r="C42" t="s">
        <v>147</v>
      </c>
      <c r="D42" s="72"/>
      <c r="E42" s="159"/>
      <c r="F42" s="159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5">
        <f t="shared" si="0"/>
        <v>0</v>
      </c>
      <c r="X42" s="188">
        <f t="shared" si="1"/>
        <v>0</v>
      </c>
      <c r="Y42" s="188">
        <f t="shared" si="2"/>
        <v>0</v>
      </c>
      <c r="Z42" s="34">
        <f t="shared" si="5"/>
        <v>0</v>
      </c>
      <c r="AA42" s="34">
        <f t="shared" si="6"/>
        <v>0</v>
      </c>
    </row>
    <row r="43" spans="1:27" x14ac:dyDescent="0.25">
      <c r="A43" t="s">
        <v>102</v>
      </c>
      <c r="B43" t="s">
        <v>20</v>
      </c>
      <c r="C43" t="s">
        <v>75</v>
      </c>
      <c r="D43" s="72"/>
      <c r="E43" s="159"/>
      <c r="F43" s="159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5">
        <f t="shared" si="0"/>
        <v>0</v>
      </c>
      <c r="X43" s="188">
        <f t="shared" si="1"/>
        <v>0</v>
      </c>
      <c r="Y43" s="188">
        <f t="shared" si="2"/>
        <v>0</v>
      </c>
      <c r="Z43" s="34">
        <f t="shared" si="5"/>
        <v>0</v>
      </c>
      <c r="AA43" s="34">
        <f t="shared" si="6"/>
        <v>0</v>
      </c>
    </row>
    <row r="44" spans="1:27" x14ac:dyDescent="0.25">
      <c r="A44" t="s">
        <v>114</v>
      </c>
      <c r="B44" t="s">
        <v>146</v>
      </c>
      <c r="C44" t="s">
        <v>75</v>
      </c>
      <c r="D44" s="72"/>
      <c r="E44" s="159"/>
      <c r="F44" s="159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5">
        <f t="shared" si="0"/>
        <v>0</v>
      </c>
      <c r="X44" s="188">
        <f t="shared" si="1"/>
        <v>0</v>
      </c>
      <c r="Y44" s="188">
        <f t="shared" si="2"/>
        <v>0</v>
      </c>
      <c r="Z44" s="34">
        <f t="shared" si="5"/>
        <v>0</v>
      </c>
      <c r="AA44" s="34">
        <f t="shared" si="6"/>
        <v>0</v>
      </c>
    </row>
    <row r="45" spans="1:27" x14ac:dyDescent="0.25">
      <c r="A45" t="s">
        <v>54</v>
      </c>
      <c r="B45" t="s">
        <v>29</v>
      </c>
      <c r="C45" t="s">
        <v>75</v>
      </c>
      <c r="D45" s="72"/>
      <c r="E45" s="159"/>
      <c r="F45" s="159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5">
        <f t="shared" si="0"/>
        <v>0</v>
      </c>
      <c r="X45" s="188">
        <f t="shared" si="1"/>
        <v>0</v>
      </c>
      <c r="Y45" s="188">
        <f t="shared" si="2"/>
        <v>0</v>
      </c>
      <c r="Z45" s="34">
        <f t="shared" si="5"/>
        <v>0</v>
      </c>
      <c r="AA45" s="34">
        <f t="shared" si="6"/>
        <v>0</v>
      </c>
    </row>
    <row r="46" spans="1:27" x14ac:dyDescent="0.25">
      <c r="A46" t="s">
        <v>53</v>
      </c>
      <c r="B46" t="s">
        <v>28</v>
      </c>
      <c r="C46" t="s">
        <v>75</v>
      </c>
      <c r="D46" s="72"/>
      <c r="E46" s="159"/>
      <c r="F46" s="159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5">
        <f t="shared" si="0"/>
        <v>0</v>
      </c>
      <c r="X46" s="188">
        <f t="shared" si="1"/>
        <v>0</v>
      </c>
      <c r="Y46" s="188">
        <f t="shared" si="2"/>
        <v>0</v>
      </c>
      <c r="Z46" s="34">
        <f t="shared" si="5"/>
        <v>0</v>
      </c>
      <c r="AA46" s="34">
        <f t="shared" si="6"/>
        <v>0</v>
      </c>
    </row>
    <row r="47" spans="1:27" x14ac:dyDescent="0.25">
      <c r="A47" t="s">
        <v>55</v>
      </c>
      <c r="B47" t="s">
        <v>30</v>
      </c>
      <c r="C47" t="s">
        <v>75</v>
      </c>
      <c r="D47" s="72"/>
      <c r="E47" s="159"/>
      <c r="F47" s="159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5">
        <f t="shared" si="0"/>
        <v>0</v>
      </c>
      <c r="X47" s="188">
        <f t="shared" si="1"/>
        <v>0</v>
      </c>
      <c r="Y47" s="188">
        <f t="shared" si="2"/>
        <v>0</v>
      </c>
      <c r="Z47" s="34">
        <f t="shared" si="5"/>
        <v>0</v>
      </c>
      <c r="AA47" s="34">
        <f t="shared" si="6"/>
        <v>0</v>
      </c>
    </row>
    <row r="48" spans="1:27" x14ac:dyDescent="0.25"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188"/>
      <c r="T48" s="188"/>
      <c r="U48" s="188"/>
      <c r="V48" s="188"/>
      <c r="W48" s="186">
        <f>SUM(W12:W47)</f>
        <v>3044666</v>
      </c>
      <c r="X48" s="186">
        <f>SUM(X12:X47)</f>
        <v>1041045</v>
      </c>
      <c r="Y48" s="186">
        <f>SUM(Y12:Y47)</f>
        <v>2003621</v>
      </c>
      <c r="Z48" s="34">
        <f t="shared" ref="Z48" si="7">X48/W48</f>
        <v>0.34192420449402333</v>
      </c>
      <c r="AA48" s="34">
        <f t="shared" ref="AA48" si="8">Y48/W48</f>
        <v>0.65807579550597672</v>
      </c>
    </row>
    <row r="49" spans="5:25" x14ac:dyDescent="0.25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188"/>
      <c r="T49" s="188"/>
      <c r="U49" s="188"/>
      <c r="V49" s="188"/>
      <c r="W49" s="35"/>
      <c r="X49" s="35"/>
      <c r="Y49" s="35"/>
    </row>
  </sheetData>
  <pageMargins left="0.7" right="0.7" top="0.75" bottom="0.75" header="0.3" footer="0.3"/>
  <pageSetup scale="50" orientation="landscape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O10" zoomScale="90" zoomScaleNormal="90" workbookViewId="0">
      <selection activeCell="Q25" sqref="Q25"/>
    </sheetView>
  </sheetViews>
  <sheetFormatPr defaultRowHeight="15" x14ac:dyDescent="0.25"/>
  <cols>
    <col min="2" max="2" width="20.5703125" bestFit="1" customWidth="1"/>
    <col min="3" max="3" width="23.85546875" bestFit="1" customWidth="1"/>
    <col min="4" max="4" width="5.85546875" bestFit="1" customWidth="1"/>
    <col min="5" max="5" width="9.28515625" bestFit="1" customWidth="1"/>
    <col min="6" max="6" width="13.85546875" bestFit="1" customWidth="1"/>
    <col min="7" max="9" width="15" bestFit="1" customWidth="1"/>
    <col min="10" max="10" width="16.140625" bestFit="1" customWidth="1"/>
    <col min="11" max="11" width="15.28515625" bestFit="1" customWidth="1"/>
    <col min="12" max="18" width="16.28515625" bestFit="1" customWidth="1"/>
    <col min="19" max="22" width="16.28515625" style="187" customWidth="1"/>
    <col min="23" max="23" width="17.7109375" bestFit="1" customWidth="1"/>
    <col min="24" max="25" width="16.140625" bestFit="1" customWidth="1"/>
  </cols>
  <sheetData>
    <row r="1" spans="1:25" x14ac:dyDescent="0.25">
      <c r="A1" s="42"/>
    </row>
    <row r="2" spans="1:25" x14ac:dyDescent="0.25">
      <c r="A2" s="42"/>
    </row>
    <row r="3" spans="1:25" x14ac:dyDescent="0.25">
      <c r="A3" s="42"/>
    </row>
    <row r="4" spans="1:25" x14ac:dyDescent="0.25">
      <c r="A4" s="61" t="s">
        <v>141</v>
      </c>
    </row>
    <row r="5" spans="1:25" x14ac:dyDescent="0.25">
      <c r="A5" s="61" t="s">
        <v>142</v>
      </c>
    </row>
    <row r="6" spans="1:25" x14ac:dyDescent="0.25">
      <c r="A6" s="61" t="s">
        <v>143</v>
      </c>
    </row>
    <row r="7" spans="1:25" x14ac:dyDescent="0.25">
      <c r="A7" s="61" t="s">
        <v>187</v>
      </c>
    </row>
    <row r="9" spans="1:25" ht="26.25" x14ac:dyDescent="0.4">
      <c r="A9" s="79" t="s">
        <v>156</v>
      </c>
    </row>
    <row r="10" spans="1:25" x14ac:dyDescent="0.25">
      <c r="A10" t="s">
        <v>155</v>
      </c>
      <c r="G10" s="78">
        <v>43374</v>
      </c>
      <c r="H10" s="78">
        <v>43405</v>
      </c>
      <c r="I10" s="78">
        <v>43435</v>
      </c>
      <c r="J10" s="78">
        <v>43466</v>
      </c>
      <c r="K10" s="78">
        <v>43497</v>
      </c>
      <c r="L10" s="78">
        <v>43525</v>
      </c>
      <c r="M10" s="78">
        <v>43556</v>
      </c>
      <c r="N10" s="78">
        <v>43586</v>
      </c>
      <c r="O10" s="78">
        <v>43617</v>
      </c>
      <c r="P10" s="78">
        <v>43647</v>
      </c>
      <c r="Q10" s="78">
        <v>43678</v>
      </c>
      <c r="R10" s="78">
        <v>43709</v>
      </c>
      <c r="S10" s="78">
        <v>43739</v>
      </c>
      <c r="T10" s="78">
        <v>43770</v>
      </c>
      <c r="U10" s="78">
        <v>43800</v>
      </c>
      <c r="V10" s="78">
        <v>43831</v>
      </c>
    </row>
    <row r="11" spans="1:25" x14ac:dyDescent="0.25">
      <c r="A11" s="77" t="s">
        <v>64</v>
      </c>
      <c r="B11" s="77" t="s">
        <v>154</v>
      </c>
      <c r="C11" s="77" t="s">
        <v>153</v>
      </c>
      <c r="D11" s="76" t="s">
        <v>152</v>
      </c>
      <c r="E11" s="76" t="s">
        <v>151</v>
      </c>
      <c r="F11" s="76" t="s">
        <v>150</v>
      </c>
      <c r="G11" s="75" t="s">
        <v>90</v>
      </c>
      <c r="H11" s="75" t="s">
        <v>91</v>
      </c>
      <c r="I11" s="75" t="s">
        <v>92</v>
      </c>
      <c r="J11" s="75" t="s">
        <v>93</v>
      </c>
      <c r="K11" s="75" t="s">
        <v>94</v>
      </c>
      <c r="L11" s="75" t="s">
        <v>95</v>
      </c>
      <c r="M11" s="75" t="s">
        <v>96</v>
      </c>
      <c r="N11" s="75" t="s">
        <v>97</v>
      </c>
      <c r="O11" s="75" t="s">
        <v>98</v>
      </c>
      <c r="P11" s="75" t="s">
        <v>99</v>
      </c>
      <c r="Q11" s="75" t="s">
        <v>100</v>
      </c>
      <c r="R11" s="75" t="s">
        <v>101</v>
      </c>
      <c r="S11" s="75" t="s">
        <v>218</v>
      </c>
      <c r="T11" s="75" t="s">
        <v>219</v>
      </c>
      <c r="U11" s="75" t="s">
        <v>220</v>
      </c>
      <c r="V11" s="75" t="s">
        <v>221</v>
      </c>
      <c r="W11" s="74" t="s">
        <v>19</v>
      </c>
      <c r="X11" s="74" t="s">
        <v>66</v>
      </c>
      <c r="Y11" s="74" t="s">
        <v>67</v>
      </c>
    </row>
    <row r="12" spans="1:25" x14ac:dyDescent="0.25">
      <c r="A12" t="s">
        <v>102</v>
      </c>
      <c r="B12" t="s">
        <v>20</v>
      </c>
      <c r="C12" t="s">
        <v>149</v>
      </c>
      <c r="D12" s="73">
        <v>1</v>
      </c>
      <c r="E12" s="158">
        <v>0</v>
      </c>
      <c r="F12" s="158">
        <v>600</v>
      </c>
      <c r="G12" s="35">
        <v>65590537.5</v>
      </c>
      <c r="H12" s="35">
        <v>64526480</v>
      </c>
      <c r="I12" s="35">
        <v>66782875</v>
      </c>
      <c r="J12" s="35">
        <v>67675629</v>
      </c>
      <c r="K12" s="35">
        <v>67915828</v>
      </c>
      <c r="L12" s="35">
        <v>67884837</v>
      </c>
      <c r="M12" s="35">
        <v>64030499</v>
      </c>
      <c r="N12" s="35">
        <v>60708131.299999997</v>
      </c>
      <c r="O12" s="35">
        <v>63855368</v>
      </c>
      <c r="P12" s="35">
        <v>68637061.700000003</v>
      </c>
      <c r="Q12" s="35">
        <v>69908549.700000003</v>
      </c>
      <c r="R12" s="35">
        <v>69969245.900000006</v>
      </c>
      <c r="S12" s="188">
        <v>66607553.200000003</v>
      </c>
      <c r="T12" s="188">
        <v>64337308.899999999</v>
      </c>
      <c r="U12" s="188">
        <v>67234507</v>
      </c>
      <c r="V12" s="188">
        <v>67901404</v>
      </c>
      <c r="W12" s="35">
        <f>SUM(K12:V12)</f>
        <v>798990293.70000005</v>
      </c>
      <c r="X12" s="35">
        <f>SUM(O12:R12)</f>
        <v>272370225.30000001</v>
      </c>
      <c r="Y12" s="35">
        <f>SUM(K12:N12,S12:V12)</f>
        <v>526620068.39999998</v>
      </c>
    </row>
    <row r="13" spans="1:25" x14ac:dyDescent="0.25">
      <c r="A13" t="s">
        <v>102</v>
      </c>
      <c r="B13" t="s">
        <v>20</v>
      </c>
      <c r="C13" t="s">
        <v>149</v>
      </c>
      <c r="D13" s="72">
        <v>2</v>
      </c>
      <c r="E13" s="159">
        <v>601</v>
      </c>
      <c r="F13" s="159">
        <v>1000000</v>
      </c>
      <c r="G13" s="35">
        <v>51833520.5</v>
      </c>
      <c r="H13" s="35">
        <v>58448549</v>
      </c>
      <c r="I13" s="35">
        <v>92448151</v>
      </c>
      <c r="J13" s="35">
        <v>102074507</v>
      </c>
      <c r="K13" s="35">
        <v>114449255</v>
      </c>
      <c r="L13" s="35">
        <v>109975685</v>
      </c>
      <c r="M13" s="35">
        <v>49310531</v>
      </c>
      <c r="N13" s="35">
        <v>28807945.700000003</v>
      </c>
      <c r="O13" s="35">
        <v>43350537</v>
      </c>
      <c r="P13" s="35">
        <v>77627702.299999997</v>
      </c>
      <c r="Q13" s="35">
        <v>87447204.299999997</v>
      </c>
      <c r="R13" s="35">
        <v>85506836.099999994</v>
      </c>
      <c r="S13" s="188">
        <v>56664980.799999997</v>
      </c>
      <c r="T13" s="188">
        <v>57806328.100000001</v>
      </c>
      <c r="U13" s="188">
        <v>88811755</v>
      </c>
      <c r="V13" s="188">
        <v>100215549</v>
      </c>
      <c r="W13" s="188">
        <f>SUM(K13:V13)</f>
        <v>899974309.29999995</v>
      </c>
      <c r="X13" s="188">
        <f t="shared" ref="X13:X32" si="0">SUM(O13:R13)</f>
        <v>293932279.69999999</v>
      </c>
      <c r="Y13" s="188">
        <f t="shared" ref="Y13:Y32" si="1">SUM(K13:N13,S13:V13)</f>
        <v>606042029.60000002</v>
      </c>
    </row>
    <row r="14" spans="1:25" x14ac:dyDescent="0.25">
      <c r="A14" t="s">
        <v>114</v>
      </c>
      <c r="B14" t="s">
        <v>146</v>
      </c>
      <c r="C14" t="s">
        <v>149</v>
      </c>
      <c r="D14" s="72">
        <v>1</v>
      </c>
      <c r="E14" s="159">
        <v>0</v>
      </c>
      <c r="F14" s="159">
        <v>700</v>
      </c>
      <c r="G14" s="35">
        <v>7739743</v>
      </c>
      <c r="H14" s="35">
        <v>7710767</v>
      </c>
      <c r="I14" s="35">
        <v>7974021</v>
      </c>
      <c r="J14" s="35">
        <v>8049955</v>
      </c>
      <c r="K14" s="35">
        <v>8108898</v>
      </c>
      <c r="L14" s="35">
        <v>8123123</v>
      </c>
      <c r="M14" s="35">
        <v>7657905</v>
      </c>
      <c r="N14" s="35">
        <v>7286542.2000000002</v>
      </c>
      <c r="O14" s="35">
        <v>7438962.5</v>
      </c>
      <c r="P14" s="35">
        <v>7839948.4000000004</v>
      </c>
      <c r="Q14" s="35">
        <v>7939369.2000000002</v>
      </c>
      <c r="R14" s="35">
        <v>7985896.2999999998</v>
      </c>
      <c r="S14" s="56">
        <v>7726702</v>
      </c>
      <c r="T14" s="56">
        <v>7687533.2000000002</v>
      </c>
      <c r="U14" s="56">
        <v>7974279.0999999996</v>
      </c>
      <c r="V14" s="56">
        <v>8026211.5</v>
      </c>
      <c r="W14" s="188">
        <f t="shared" ref="W14:W17" si="2">SUM(K14:V14)</f>
        <v>93795370.399999991</v>
      </c>
      <c r="X14" s="188">
        <f t="shared" si="0"/>
        <v>31204176.400000002</v>
      </c>
      <c r="Y14" s="188">
        <f t="shared" si="1"/>
        <v>62591194.000000007</v>
      </c>
    </row>
    <row r="15" spans="1:25" x14ac:dyDescent="0.25">
      <c r="A15" t="s">
        <v>114</v>
      </c>
      <c r="B15" t="s">
        <v>146</v>
      </c>
      <c r="C15" t="s">
        <v>149</v>
      </c>
      <c r="D15" s="72">
        <v>2</v>
      </c>
      <c r="E15" s="159">
        <v>701</v>
      </c>
      <c r="F15" s="159">
        <v>1000000</v>
      </c>
      <c r="G15" s="35">
        <v>19217852</v>
      </c>
      <c r="H15" s="35">
        <v>16598092</v>
      </c>
      <c r="I15" s="35">
        <v>17341275</v>
      </c>
      <c r="J15" s="35">
        <v>19018157</v>
      </c>
      <c r="K15" s="35">
        <v>18908944</v>
      </c>
      <c r="L15" s="35">
        <v>19472677</v>
      </c>
      <c r="M15" s="35">
        <v>15231388</v>
      </c>
      <c r="N15" s="35">
        <v>13912405.800000001</v>
      </c>
      <c r="O15" s="35">
        <v>15286352.5</v>
      </c>
      <c r="P15" s="35">
        <v>23174238.600000001</v>
      </c>
      <c r="Q15" s="35">
        <v>23549095.800000001</v>
      </c>
      <c r="R15" s="35">
        <v>23132878.699999999</v>
      </c>
      <c r="S15" s="56">
        <v>18345104</v>
      </c>
      <c r="T15" s="56">
        <v>15818347.800000001</v>
      </c>
      <c r="U15" s="56">
        <v>18244553.899999999</v>
      </c>
      <c r="V15" s="56">
        <v>18487838.5</v>
      </c>
      <c r="W15" s="188">
        <f t="shared" si="2"/>
        <v>223563824.60000002</v>
      </c>
      <c r="X15" s="188">
        <f t="shared" si="0"/>
        <v>85142565.600000009</v>
      </c>
      <c r="Y15" s="188">
        <f t="shared" si="1"/>
        <v>138421259</v>
      </c>
    </row>
    <row r="16" spans="1:25" x14ac:dyDescent="0.25">
      <c r="A16" t="s">
        <v>54</v>
      </c>
      <c r="B16" t="s">
        <v>29</v>
      </c>
      <c r="C16" t="s">
        <v>149</v>
      </c>
      <c r="D16" s="72">
        <v>1</v>
      </c>
      <c r="E16" s="159">
        <v>0</v>
      </c>
      <c r="F16" s="159">
        <v>700</v>
      </c>
      <c r="G16" s="35">
        <v>1626684</v>
      </c>
      <c r="H16" s="35">
        <v>1660141</v>
      </c>
      <c r="I16" s="35">
        <v>1749681</v>
      </c>
      <c r="J16" s="35">
        <v>1762268</v>
      </c>
      <c r="K16" s="35">
        <v>1767228</v>
      </c>
      <c r="L16" s="35">
        <v>1763028</v>
      </c>
      <c r="M16" s="35">
        <v>1654985</v>
      </c>
      <c r="N16" s="35">
        <v>1537298</v>
      </c>
      <c r="O16" s="35">
        <v>1545863</v>
      </c>
      <c r="P16" s="35">
        <v>1622328</v>
      </c>
      <c r="Q16" s="35">
        <v>1639790</v>
      </c>
      <c r="R16" s="35">
        <v>1655402</v>
      </c>
      <c r="S16" s="56">
        <v>1609547</v>
      </c>
      <c r="T16" s="56">
        <v>1653537</v>
      </c>
      <c r="U16" s="56">
        <v>1694619</v>
      </c>
      <c r="V16" s="56">
        <v>1717027</v>
      </c>
      <c r="W16" s="188">
        <f t="shared" si="2"/>
        <v>19860652</v>
      </c>
      <c r="X16" s="188">
        <f t="shared" si="0"/>
        <v>6463383</v>
      </c>
      <c r="Y16" s="188">
        <f t="shared" si="1"/>
        <v>13397269</v>
      </c>
    </row>
    <row r="17" spans="1:25" x14ac:dyDescent="0.25">
      <c r="A17" t="s">
        <v>54</v>
      </c>
      <c r="B17" t="s">
        <v>29</v>
      </c>
      <c r="C17" t="s">
        <v>149</v>
      </c>
      <c r="D17" s="72">
        <v>2</v>
      </c>
      <c r="E17" s="159">
        <v>701</v>
      </c>
      <c r="F17" s="159">
        <v>1000000</v>
      </c>
      <c r="G17" s="35">
        <v>4505116</v>
      </c>
      <c r="H17" s="35">
        <v>4787917</v>
      </c>
      <c r="I17" s="35">
        <v>6304157</v>
      </c>
      <c r="J17" s="35">
        <v>6867903</v>
      </c>
      <c r="K17" s="35">
        <v>7524941</v>
      </c>
      <c r="L17" s="35">
        <v>6825667</v>
      </c>
      <c r="M17" s="35">
        <v>4490928</v>
      </c>
      <c r="N17" s="35">
        <v>3596571</v>
      </c>
      <c r="O17" s="35">
        <v>4095441</v>
      </c>
      <c r="P17" s="35">
        <v>5318590</v>
      </c>
      <c r="Q17" s="35">
        <v>5617527</v>
      </c>
      <c r="R17" s="35">
        <v>5892947</v>
      </c>
      <c r="S17" s="56">
        <v>4272733</v>
      </c>
      <c r="T17" s="56">
        <v>5072564</v>
      </c>
      <c r="U17" s="56">
        <v>5783581</v>
      </c>
      <c r="V17" s="56">
        <v>6522260</v>
      </c>
      <c r="W17" s="188">
        <f t="shared" si="2"/>
        <v>65013750</v>
      </c>
      <c r="X17" s="188">
        <f t="shared" si="0"/>
        <v>20924505</v>
      </c>
      <c r="Y17" s="188">
        <f t="shared" si="1"/>
        <v>44089245</v>
      </c>
    </row>
    <row r="18" spans="1:25" x14ac:dyDescent="0.25">
      <c r="A18" t="s">
        <v>102</v>
      </c>
      <c r="B18" t="s">
        <v>20</v>
      </c>
      <c r="C18" t="s">
        <v>148</v>
      </c>
      <c r="D18" s="72"/>
      <c r="E18" s="159"/>
      <c r="F18" s="15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188"/>
      <c r="T18" s="188"/>
      <c r="U18" s="188"/>
      <c r="V18" s="188"/>
      <c r="W18" s="35">
        <f t="shared" ref="W18:W42" si="3">SUM(G18:R18)</f>
        <v>0</v>
      </c>
      <c r="X18" s="188">
        <f t="shared" si="0"/>
        <v>0</v>
      </c>
      <c r="Y18" s="188">
        <f t="shared" si="1"/>
        <v>0</v>
      </c>
    </row>
    <row r="19" spans="1:25" x14ac:dyDescent="0.25">
      <c r="A19" t="s">
        <v>114</v>
      </c>
      <c r="B19" t="s">
        <v>146</v>
      </c>
      <c r="C19" t="s">
        <v>148</v>
      </c>
      <c r="D19" s="72"/>
      <c r="E19" s="159"/>
      <c r="F19" s="159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188"/>
      <c r="T19" s="188"/>
      <c r="U19" s="188"/>
      <c r="V19" s="188"/>
      <c r="W19" s="35">
        <f t="shared" si="3"/>
        <v>0</v>
      </c>
      <c r="X19" s="188">
        <f t="shared" si="0"/>
        <v>0</v>
      </c>
      <c r="Y19" s="188">
        <f t="shared" si="1"/>
        <v>0</v>
      </c>
    </row>
    <row r="20" spans="1:25" x14ac:dyDescent="0.25">
      <c r="A20" t="s">
        <v>54</v>
      </c>
      <c r="B20" t="s">
        <v>29</v>
      </c>
      <c r="C20" t="s">
        <v>148</v>
      </c>
      <c r="D20" s="72"/>
      <c r="E20" s="159"/>
      <c r="F20" s="159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188"/>
      <c r="T20" s="188"/>
      <c r="U20" s="188"/>
      <c r="V20" s="188"/>
      <c r="W20" s="35">
        <f t="shared" si="3"/>
        <v>0</v>
      </c>
      <c r="X20" s="188">
        <f t="shared" si="0"/>
        <v>0</v>
      </c>
      <c r="Y20" s="188">
        <f t="shared" si="1"/>
        <v>0</v>
      </c>
    </row>
    <row r="21" spans="1:25" x14ac:dyDescent="0.25">
      <c r="A21" t="s">
        <v>53</v>
      </c>
      <c r="B21" t="s">
        <v>28</v>
      </c>
      <c r="C21" t="s">
        <v>148</v>
      </c>
      <c r="D21" s="72"/>
      <c r="E21" s="159"/>
      <c r="F21" s="159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188"/>
      <c r="T21" s="188"/>
      <c r="U21" s="188"/>
      <c r="V21" s="188"/>
      <c r="W21" s="35">
        <f t="shared" si="3"/>
        <v>0</v>
      </c>
      <c r="X21" s="188">
        <f t="shared" si="0"/>
        <v>0</v>
      </c>
      <c r="Y21" s="188">
        <f t="shared" si="1"/>
        <v>0</v>
      </c>
    </row>
    <row r="22" spans="1:25" x14ac:dyDescent="0.25">
      <c r="A22" t="s">
        <v>55</v>
      </c>
      <c r="B22" t="s">
        <v>30</v>
      </c>
      <c r="C22" t="s">
        <v>148</v>
      </c>
      <c r="D22" s="72"/>
      <c r="E22" s="159"/>
      <c r="F22" s="15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188"/>
      <c r="T22" s="188"/>
      <c r="U22" s="188"/>
      <c r="V22" s="188"/>
      <c r="W22" s="35">
        <f t="shared" si="3"/>
        <v>0</v>
      </c>
      <c r="X22" s="188">
        <f t="shared" si="0"/>
        <v>0</v>
      </c>
      <c r="Y22" s="188">
        <f t="shared" si="1"/>
        <v>0</v>
      </c>
    </row>
    <row r="23" spans="1:25" x14ac:dyDescent="0.25">
      <c r="A23" t="s">
        <v>53</v>
      </c>
      <c r="B23" t="s">
        <v>28</v>
      </c>
      <c r="C23" t="s">
        <v>81</v>
      </c>
      <c r="D23" s="72"/>
      <c r="E23" s="159"/>
      <c r="F23" s="159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188"/>
      <c r="T23" s="188"/>
      <c r="U23" s="188"/>
      <c r="V23" s="188"/>
      <c r="W23" s="35">
        <f t="shared" si="3"/>
        <v>0</v>
      </c>
      <c r="X23" s="188">
        <f t="shared" si="0"/>
        <v>0</v>
      </c>
      <c r="Y23" s="188">
        <f t="shared" si="1"/>
        <v>0</v>
      </c>
    </row>
    <row r="24" spans="1:25" x14ac:dyDescent="0.25">
      <c r="A24" t="s">
        <v>55</v>
      </c>
      <c r="B24" t="s">
        <v>30</v>
      </c>
      <c r="C24" t="s">
        <v>81</v>
      </c>
      <c r="D24" s="72"/>
      <c r="E24" s="159"/>
      <c r="F24" s="159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188"/>
      <c r="T24" s="188"/>
      <c r="U24" s="188"/>
      <c r="V24" s="188"/>
      <c r="W24" s="35">
        <f t="shared" si="3"/>
        <v>0</v>
      </c>
      <c r="X24" s="188">
        <f t="shared" si="0"/>
        <v>0</v>
      </c>
      <c r="Y24" s="188">
        <f t="shared" si="1"/>
        <v>0</v>
      </c>
    </row>
    <row r="25" spans="1:25" x14ac:dyDescent="0.25">
      <c r="A25" t="s">
        <v>53</v>
      </c>
      <c r="B25" t="s">
        <v>28</v>
      </c>
      <c r="C25" t="s">
        <v>80</v>
      </c>
      <c r="D25" s="72"/>
      <c r="E25" s="159"/>
      <c r="F25" s="159"/>
      <c r="G25" s="35">
        <v>207247.48200000002</v>
      </c>
      <c r="H25" s="35">
        <v>212536.71400000001</v>
      </c>
      <c r="I25" s="35">
        <v>195465.753</v>
      </c>
      <c r="J25" s="35">
        <v>197126.49</v>
      </c>
      <c r="K25" s="35">
        <v>193768.58600000001</v>
      </c>
      <c r="L25" s="35">
        <v>200308.916</v>
      </c>
      <c r="M25" s="35">
        <v>200020.22899999999</v>
      </c>
      <c r="N25" s="35">
        <v>205837.11200000002</v>
      </c>
      <c r="O25" s="35">
        <v>220322.236</v>
      </c>
      <c r="P25" s="35">
        <v>219208.63299999997</v>
      </c>
      <c r="Q25" s="35">
        <v>231920.96</v>
      </c>
      <c r="R25" s="35">
        <v>235947.6999999999</v>
      </c>
      <c r="S25" s="56">
        <v>223621</v>
      </c>
      <c r="T25" s="56">
        <v>203972.49699999997</v>
      </c>
      <c r="U25" s="56">
        <v>193537.33100000001</v>
      </c>
      <c r="V25" s="56">
        <v>190164.17799999999</v>
      </c>
      <c r="W25" s="188">
        <f t="shared" ref="W25:W32" si="4">SUM(K25:V25)</f>
        <v>2518629.378</v>
      </c>
      <c r="X25" s="188">
        <f t="shared" si="0"/>
        <v>907399.52899999986</v>
      </c>
      <c r="Y25" s="188">
        <f t="shared" si="1"/>
        <v>1611229.8489999999</v>
      </c>
    </row>
    <row r="26" spans="1:25" x14ac:dyDescent="0.25">
      <c r="A26" t="s">
        <v>53</v>
      </c>
      <c r="B26" t="s">
        <v>28</v>
      </c>
      <c r="C26" t="s">
        <v>82</v>
      </c>
      <c r="D26" s="72">
        <v>1</v>
      </c>
      <c r="E26" s="159">
        <v>0</v>
      </c>
      <c r="F26" s="159">
        <v>150</v>
      </c>
      <c r="G26" s="35">
        <v>29572936</v>
      </c>
      <c r="H26" s="35">
        <v>30286262</v>
      </c>
      <c r="I26" s="35">
        <v>28030613</v>
      </c>
      <c r="J26" s="35">
        <v>28358247</v>
      </c>
      <c r="K26" s="35">
        <v>27799574</v>
      </c>
      <c r="L26" s="35">
        <v>28345363</v>
      </c>
      <c r="M26" s="35">
        <v>28913366</v>
      </c>
      <c r="N26" s="35">
        <v>29349258</v>
      </c>
      <c r="O26" s="35">
        <v>30757072</v>
      </c>
      <c r="P26" s="35">
        <v>32206242</v>
      </c>
      <c r="Q26" s="35">
        <v>33686956</v>
      </c>
      <c r="R26" s="35">
        <v>34015191</v>
      </c>
      <c r="S26" s="56">
        <v>32029708</v>
      </c>
      <c r="T26" s="56">
        <v>28996259</v>
      </c>
      <c r="U26" s="56">
        <v>27477280</v>
      </c>
      <c r="V26" s="56">
        <v>27231239</v>
      </c>
      <c r="W26" s="188">
        <f t="shared" si="4"/>
        <v>360807508</v>
      </c>
      <c r="X26" s="188">
        <f t="shared" si="0"/>
        <v>130665461</v>
      </c>
      <c r="Y26" s="188">
        <f t="shared" si="1"/>
        <v>230142047</v>
      </c>
    </row>
    <row r="27" spans="1:25" x14ac:dyDescent="0.25">
      <c r="A27" t="s">
        <v>53</v>
      </c>
      <c r="B27" t="s">
        <v>28</v>
      </c>
      <c r="C27" t="s">
        <v>82</v>
      </c>
      <c r="D27" s="72">
        <v>2</v>
      </c>
      <c r="E27" s="159">
        <v>151</v>
      </c>
      <c r="F27" s="159">
        <v>200</v>
      </c>
      <c r="G27" s="35">
        <v>28016147</v>
      </c>
      <c r="H27" s="35">
        <v>27414928</v>
      </c>
      <c r="I27" s="35">
        <v>26482290</v>
      </c>
      <c r="J27" s="35">
        <v>27046365</v>
      </c>
      <c r="K27" s="35">
        <v>27435286</v>
      </c>
      <c r="L27" s="35">
        <v>27586893</v>
      </c>
      <c r="M27" s="35">
        <v>25771648</v>
      </c>
      <c r="N27" s="35">
        <v>27021311</v>
      </c>
      <c r="O27" s="35">
        <v>28664176</v>
      </c>
      <c r="P27" s="35">
        <v>32641925</v>
      </c>
      <c r="Q27" s="35">
        <v>33120569</v>
      </c>
      <c r="R27" s="35">
        <v>34068721</v>
      </c>
      <c r="S27" s="56">
        <v>29533910</v>
      </c>
      <c r="T27" s="56">
        <v>26278422</v>
      </c>
      <c r="U27" s="56">
        <v>26618407</v>
      </c>
      <c r="V27" s="56">
        <v>26866475</v>
      </c>
      <c r="W27" s="188">
        <f t="shared" si="4"/>
        <v>345607743</v>
      </c>
      <c r="X27" s="188">
        <f t="shared" si="0"/>
        <v>128495391</v>
      </c>
      <c r="Y27" s="188">
        <f t="shared" si="1"/>
        <v>217112352</v>
      </c>
    </row>
    <row r="28" spans="1:25" x14ac:dyDescent="0.25">
      <c r="A28" t="s">
        <v>53</v>
      </c>
      <c r="B28" t="s">
        <v>28</v>
      </c>
      <c r="C28" t="s">
        <v>82</v>
      </c>
      <c r="D28" s="72">
        <v>3</v>
      </c>
      <c r="E28" s="159">
        <v>201</v>
      </c>
      <c r="F28" s="159">
        <v>1000000</v>
      </c>
      <c r="G28" s="35">
        <v>18848591</v>
      </c>
      <c r="H28" s="35">
        <v>8200861.9999999925</v>
      </c>
      <c r="I28" s="35">
        <v>10436090</v>
      </c>
      <c r="J28" s="35">
        <v>9143569</v>
      </c>
      <c r="K28" s="35">
        <v>10374732.000000007</v>
      </c>
      <c r="L28" s="35">
        <v>9307415</v>
      </c>
      <c r="M28" s="35">
        <v>8149316</v>
      </c>
      <c r="N28" s="35">
        <v>8955147</v>
      </c>
      <c r="O28" s="35">
        <v>9760119</v>
      </c>
      <c r="P28" s="35">
        <v>13926022</v>
      </c>
      <c r="Q28" s="35">
        <v>15469204</v>
      </c>
      <c r="R28" s="35">
        <v>19637912</v>
      </c>
      <c r="S28" s="56">
        <v>3042310</v>
      </c>
      <c r="T28" s="56">
        <v>9703870</v>
      </c>
      <c r="U28" s="56">
        <v>11078206</v>
      </c>
      <c r="V28" s="56">
        <v>13088331</v>
      </c>
      <c r="W28" s="188">
        <f t="shared" si="4"/>
        <v>132492584</v>
      </c>
      <c r="X28" s="188">
        <f t="shared" si="0"/>
        <v>58793257</v>
      </c>
      <c r="Y28" s="188">
        <f t="shared" si="1"/>
        <v>73699327</v>
      </c>
    </row>
    <row r="29" spans="1:25" x14ac:dyDescent="0.25">
      <c r="A29" t="s">
        <v>55</v>
      </c>
      <c r="B29" t="s">
        <v>30</v>
      </c>
      <c r="C29" t="s">
        <v>82</v>
      </c>
      <c r="D29" s="72"/>
      <c r="E29" s="159"/>
      <c r="F29" s="159"/>
      <c r="G29" s="35">
        <v>98433.160999999993</v>
      </c>
      <c r="H29" s="35">
        <v>106589.728</v>
      </c>
      <c r="I29" s="35">
        <v>113996.25200000001</v>
      </c>
      <c r="J29" s="35">
        <v>114719.48199999999</v>
      </c>
      <c r="K29" s="35">
        <v>119453.94099999999</v>
      </c>
      <c r="L29" s="35">
        <v>113976.63900000001</v>
      </c>
      <c r="M29" s="35">
        <v>109039.461</v>
      </c>
      <c r="N29" s="35">
        <v>89812.625</v>
      </c>
      <c r="O29" s="35">
        <v>88393.592999999993</v>
      </c>
      <c r="P29" s="35">
        <v>91826.621000000014</v>
      </c>
      <c r="Q29" s="35">
        <v>97489.996000000014</v>
      </c>
      <c r="R29" s="35">
        <v>96492.008999999976</v>
      </c>
      <c r="S29" s="56">
        <v>97981.364000000001</v>
      </c>
      <c r="T29" s="56">
        <v>108067.087</v>
      </c>
      <c r="U29" s="56">
        <v>115392.69699999999</v>
      </c>
      <c r="V29" s="56">
        <v>116087.31300000002</v>
      </c>
      <c r="W29" s="188">
        <f t="shared" si="4"/>
        <v>1244013.3460000001</v>
      </c>
      <c r="X29" s="188">
        <f t="shared" si="0"/>
        <v>374202.21899999998</v>
      </c>
      <c r="Y29" s="188">
        <f t="shared" si="1"/>
        <v>869811.12700000009</v>
      </c>
    </row>
    <row r="30" spans="1:25" x14ac:dyDescent="0.25">
      <c r="A30" t="s">
        <v>55</v>
      </c>
      <c r="B30" t="s">
        <v>30</v>
      </c>
      <c r="C30" t="s">
        <v>82</v>
      </c>
      <c r="D30" s="72">
        <v>1</v>
      </c>
      <c r="E30" s="159">
        <v>0</v>
      </c>
      <c r="F30" s="159">
        <v>150</v>
      </c>
      <c r="G30" s="35">
        <v>14012059</v>
      </c>
      <c r="H30" s="35">
        <v>15193684</v>
      </c>
      <c r="I30" s="35">
        <v>16421087</v>
      </c>
      <c r="J30" s="35">
        <v>16443969</v>
      </c>
      <c r="K30" s="35">
        <v>16741187</v>
      </c>
      <c r="L30" s="35">
        <v>16996359</v>
      </c>
      <c r="M30" s="35">
        <v>15199014</v>
      </c>
      <c r="N30" s="35">
        <v>12597178</v>
      </c>
      <c r="O30" s="35">
        <v>12646377</v>
      </c>
      <c r="P30" s="35">
        <v>13323585</v>
      </c>
      <c r="Q30" s="35">
        <v>14281370</v>
      </c>
      <c r="R30" s="35">
        <v>14027053</v>
      </c>
      <c r="S30" s="56">
        <v>13828151</v>
      </c>
      <c r="T30" s="56">
        <v>15404911</v>
      </c>
      <c r="U30" s="56">
        <v>16399657</v>
      </c>
      <c r="V30" s="56">
        <v>15884482</v>
      </c>
      <c r="W30" s="188">
        <f t="shared" si="4"/>
        <v>177329324</v>
      </c>
      <c r="X30" s="188">
        <f t="shared" si="0"/>
        <v>54278385</v>
      </c>
      <c r="Y30" s="188">
        <f t="shared" si="1"/>
        <v>123050939</v>
      </c>
    </row>
    <row r="31" spans="1:25" x14ac:dyDescent="0.25">
      <c r="A31" t="s">
        <v>55</v>
      </c>
      <c r="B31" t="s">
        <v>30</v>
      </c>
      <c r="C31" t="s">
        <v>82</v>
      </c>
      <c r="D31" s="72">
        <v>2</v>
      </c>
      <c r="E31" s="159">
        <v>151</v>
      </c>
      <c r="F31" s="159">
        <v>200</v>
      </c>
      <c r="G31" s="35">
        <v>12061317</v>
      </c>
      <c r="H31" s="35">
        <v>11070700</v>
      </c>
      <c r="I31" s="35">
        <v>12770028</v>
      </c>
      <c r="J31" s="35">
        <v>12972686</v>
      </c>
      <c r="K31" s="35">
        <v>13268178</v>
      </c>
      <c r="L31" s="35">
        <v>12465437</v>
      </c>
      <c r="M31" s="35">
        <v>9737711</v>
      </c>
      <c r="N31" s="35">
        <v>9213915</v>
      </c>
      <c r="O31" s="35">
        <v>10530324</v>
      </c>
      <c r="P31" s="35">
        <v>13140949</v>
      </c>
      <c r="Q31" s="35">
        <v>13969512</v>
      </c>
      <c r="R31" s="35">
        <v>13693600</v>
      </c>
      <c r="S31" s="56">
        <v>11396162</v>
      </c>
      <c r="T31" s="56">
        <v>9686711</v>
      </c>
      <c r="U31" s="56">
        <v>12113659</v>
      </c>
      <c r="V31" s="56">
        <v>11746432</v>
      </c>
      <c r="W31" s="188">
        <f t="shared" si="4"/>
        <v>140962590</v>
      </c>
      <c r="X31" s="188">
        <f t="shared" si="0"/>
        <v>51334385</v>
      </c>
      <c r="Y31" s="188">
        <f t="shared" si="1"/>
        <v>89628205</v>
      </c>
    </row>
    <row r="32" spans="1:25" x14ac:dyDescent="0.25">
      <c r="A32" t="s">
        <v>55</v>
      </c>
      <c r="B32" t="s">
        <v>30</v>
      </c>
      <c r="C32" t="s">
        <v>82</v>
      </c>
      <c r="D32" s="72">
        <v>3</v>
      </c>
      <c r="E32" s="159">
        <v>201</v>
      </c>
      <c r="F32" s="159">
        <v>1000000</v>
      </c>
      <c r="G32" s="35">
        <v>3403856</v>
      </c>
      <c r="H32" s="35">
        <v>2148362</v>
      </c>
      <c r="I32" s="35">
        <v>2439536</v>
      </c>
      <c r="J32" s="35">
        <v>2890327</v>
      </c>
      <c r="K32" s="35">
        <v>2124457</v>
      </c>
      <c r="L32" s="35">
        <v>1936788</v>
      </c>
      <c r="M32" s="35">
        <v>1903408</v>
      </c>
      <c r="N32" s="35">
        <v>2539081</v>
      </c>
      <c r="O32" s="35">
        <v>2755034</v>
      </c>
      <c r="P32" s="35">
        <v>3904443</v>
      </c>
      <c r="Q32" s="35">
        <v>3840531</v>
      </c>
      <c r="R32" s="35">
        <v>4271099</v>
      </c>
      <c r="S32" s="56">
        <v>2285784</v>
      </c>
      <c r="T32" s="56">
        <v>1571837</v>
      </c>
      <c r="U32" s="56">
        <v>2730947</v>
      </c>
      <c r="V32" s="56">
        <v>3261694</v>
      </c>
      <c r="W32" s="188">
        <f t="shared" si="4"/>
        <v>33125103</v>
      </c>
      <c r="X32" s="188">
        <f t="shared" si="0"/>
        <v>14771107</v>
      </c>
      <c r="Y32" s="188">
        <f t="shared" si="1"/>
        <v>18353996</v>
      </c>
    </row>
    <row r="33" spans="1:25" x14ac:dyDescent="0.25">
      <c r="A33" t="s">
        <v>102</v>
      </c>
      <c r="B33" t="s">
        <v>20</v>
      </c>
      <c r="C33" t="s">
        <v>147</v>
      </c>
      <c r="D33" s="72"/>
      <c r="E33" s="159"/>
      <c r="F33" s="159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188"/>
      <c r="T33" s="188"/>
      <c r="U33" s="188"/>
      <c r="V33" s="188"/>
      <c r="W33" s="35">
        <f t="shared" si="3"/>
        <v>0</v>
      </c>
      <c r="X33" s="35">
        <f t="shared" ref="X33:X42" si="5">SUM(O33:R33)</f>
        <v>0</v>
      </c>
      <c r="Y33" s="35">
        <f t="shared" ref="Y33:Y42" si="6">SUM(G33:N33)</f>
        <v>0</v>
      </c>
    </row>
    <row r="34" spans="1:25" x14ac:dyDescent="0.25">
      <c r="A34" t="s">
        <v>114</v>
      </c>
      <c r="B34" t="s">
        <v>146</v>
      </c>
      <c r="C34" t="s">
        <v>147</v>
      </c>
      <c r="D34" s="72"/>
      <c r="E34" s="159"/>
      <c r="F34" s="159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188"/>
      <c r="T34" s="188"/>
      <c r="U34" s="188"/>
      <c r="V34" s="188"/>
      <c r="W34" s="35">
        <f t="shared" si="3"/>
        <v>0</v>
      </c>
      <c r="X34" s="35">
        <f t="shared" si="5"/>
        <v>0</v>
      </c>
      <c r="Y34" s="35">
        <f t="shared" si="6"/>
        <v>0</v>
      </c>
    </row>
    <row r="35" spans="1:25" x14ac:dyDescent="0.25">
      <c r="A35" t="s">
        <v>54</v>
      </c>
      <c r="B35" t="s">
        <v>29</v>
      </c>
      <c r="C35" t="s">
        <v>147</v>
      </c>
      <c r="D35" s="72"/>
      <c r="E35" s="159"/>
      <c r="F35" s="159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188"/>
      <c r="T35" s="188"/>
      <c r="U35" s="188"/>
      <c r="V35" s="188"/>
      <c r="W35" s="35">
        <f t="shared" si="3"/>
        <v>0</v>
      </c>
      <c r="X35" s="35">
        <f t="shared" si="5"/>
        <v>0</v>
      </c>
      <c r="Y35" s="35">
        <f t="shared" si="6"/>
        <v>0</v>
      </c>
    </row>
    <row r="36" spans="1:25" x14ac:dyDescent="0.25">
      <c r="A36" t="s">
        <v>53</v>
      </c>
      <c r="B36" t="s">
        <v>28</v>
      </c>
      <c r="C36" t="s">
        <v>147</v>
      </c>
      <c r="D36" s="72"/>
      <c r="E36" s="159"/>
      <c r="F36" s="159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188"/>
      <c r="T36" s="188"/>
      <c r="U36" s="188"/>
      <c r="V36" s="188"/>
      <c r="W36" s="35">
        <f t="shared" si="3"/>
        <v>0</v>
      </c>
      <c r="X36" s="35">
        <f t="shared" si="5"/>
        <v>0</v>
      </c>
      <c r="Y36" s="35">
        <f t="shared" si="6"/>
        <v>0</v>
      </c>
    </row>
    <row r="37" spans="1:25" x14ac:dyDescent="0.25">
      <c r="A37" t="s">
        <v>55</v>
      </c>
      <c r="B37" t="s">
        <v>30</v>
      </c>
      <c r="C37" t="s">
        <v>147</v>
      </c>
      <c r="D37" s="72"/>
      <c r="E37" s="159"/>
      <c r="F37" s="15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188"/>
      <c r="T37" s="188"/>
      <c r="U37" s="188"/>
      <c r="V37" s="188"/>
      <c r="W37" s="35">
        <f t="shared" si="3"/>
        <v>0</v>
      </c>
      <c r="X37" s="35">
        <f t="shared" si="5"/>
        <v>0</v>
      </c>
      <c r="Y37" s="35">
        <f t="shared" si="6"/>
        <v>0</v>
      </c>
    </row>
    <row r="38" spans="1:25" x14ac:dyDescent="0.25">
      <c r="A38" t="s">
        <v>102</v>
      </c>
      <c r="B38" t="s">
        <v>20</v>
      </c>
      <c r="C38" t="s">
        <v>75</v>
      </c>
      <c r="D38" s="72"/>
      <c r="E38" s="159"/>
      <c r="F38" s="159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188"/>
      <c r="T38" s="188"/>
      <c r="U38" s="188"/>
      <c r="V38" s="188"/>
      <c r="W38" s="35">
        <f t="shared" si="3"/>
        <v>0</v>
      </c>
      <c r="X38" s="35">
        <f t="shared" si="5"/>
        <v>0</v>
      </c>
      <c r="Y38" s="35">
        <f t="shared" si="6"/>
        <v>0</v>
      </c>
    </row>
    <row r="39" spans="1:25" x14ac:dyDescent="0.25">
      <c r="A39" t="s">
        <v>114</v>
      </c>
      <c r="B39" t="s">
        <v>146</v>
      </c>
      <c r="C39" t="s">
        <v>75</v>
      </c>
      <c r="D39" s="72"/>
      <c r="E39" s="159"/>
      <c r="F39" s="15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188"/>
      <c r="T39" s="188"/>
      <c r="U39" s="188"/>
      <c r="V39" s="188"/>
      <c r="W39" s="35">
        <f t="shared" si="3"/>
        <v>0</v>
      </c>
      <c r="X39" s="35">
        <f t="shared" si="5"/>
        <v>0</v>
      </c>
      <c r="Y39" s="35">
        <f t="shared" si="6"/>
        <v>0</v>
      </c>
    </row>
    <row r="40" spans="1:25" x14ac:dyDescent="0.25">
      <c r="A40" t="s">
        <v>54</v>
      </c>
      <c r="B40" t="s">
        <v>29</v>
      </c>
      <c r="C40" t="s">
        <v>75</v>
      </c>
      <c r="D40" s="72"/>
      <c r="E40" s="159"/>
      <c r="F40" s="159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188"/>
      <c r="T40" s="188"/>
      <c r="U40" s="188"/>
      <c r="V40" s="188"/>
      <c r="W40" s="35">
        <f t="shared" si="3"/>
        <v>0</v>
      </c>
      <c r="X40" s="35">
        <f t="shared" si="5"/>
        <v>0</v>
      </c>
      <c r="Y40" s="35">
        <f t="shared" si="6"/>
        <v>0</v>
      </c>
    </row>
    <row r="41" spans="1:25" x14ac:dyDescent="0.25">
      <c r="A41" t="s">
        <v>53</v>
      </c>
      <c r="B41" t="s">
        <v>28</v>
      </c>
      <c r="C41" t="s">
        <v>75</v>
      </c>
      <c r="D41" s="72"/>
      <c r="E41" s="159"/>
      <c r="F41" s="15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188"/>
      <c r="T41" s="188"/>
      <c r="U41" s="188"/>
      <c r="V41" s="188"/>
      <c r="W41" s="35">
        <f t="shared" si="3"/>
        <v>0</v>
      </c>
      <c r="X41" s="35">
        <f t="shared" si="5"/>
        <v>0</v>
      </c>
      <c r="Y41" s="35">
        <f t="shared" si="6"/>
        <v>0</v>
      </c>
    </row>
    <row r="42" spans="1:25" x14ac:dyDescent="0.25">
      <c r="A42" t="s">
        <v>55</v>
      </c>
      <c r="B42" t="s">
        <v>30</v>
      </c>
      <c r="C42" t="s">
        <v>75</v>
      </c>
      <c r="D42" s="72"/>
      <c r="E42" s="159"/>
      <c r="F42" s="15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188"/>
      <c r="T42" s="188"/>
      <c r="U42" s="188"/>
      <c r="V42" s="188"/>
      <c r="W42" s="35">
        <f t="shared" si="3"/>
        <v>0</v>
      </c>
      <c r="X42" s="35">
        <f t="shared" si="5"/>
        <v>0</v>
      </c>
      <c r="Y42" s="35">
        <f t="shared" si="6"/>
        <v>0</v>
      </c>
    </row>
  </sheetData>
  <pageMargins left="0.7" right="0.7" top="0.75" bottom="0.75" header="0.3" footer="0.3"/>
  <pageSetup scale="53" fitToWidth="2" fitToHeight="2" orientation="landscape" r:id="rId1"/>
  <headerFooter differentFirst="1">
    <oddFooter>&amp;CPage &amp;P of &amp;N</oddFooter>
    <firstFooter>&amp;CPage &amp;P of &amp;N</first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opLeftCell="F76" zoomScaleNormal="100" workbookViewId="0">
      <selection activeCell="Q66" sqref="Q66:Q70"/>
    </sheetView>
  </sheetViews>
  <sheetFormatPr defaultRowHeight="15" x14ac:dyDescent="0.25"/>
  <cols>
    <col min="1" max="1" width="37.140625" bestFit="1" customWidth="1"/>
    <col min="2" max="13" width="14.42578125" customWidth="1"/>
    <col min="14" max="17" width="14.42578125" style="187" customWidth="1"/>
    <col min="18" max="18" width="14.42578125" customWidth="1"/>
    <col min="19" max="19" width="14.42578125" style="19" customWidth="1"/>
    <col min="20" max="20" width="3.140625" customWidth="1"/>
    <col min="21" max="23" width="14.140625" customWidth="1"/>
    <col min="24" max="24" width="8.42578125" bestFit="1" customWidth="1"/>
    <col min="25" max="25" width="7.5703125" customWidth="1"/>
  </cols>
  <sheetData>
    <row r="1" spans="1:26" x14ac:dyDescent="0.25">
      <c r="A1" s="1"/>
    </row>
    <row r="2" spans="1:26" x14ac:dyDescent="0.25">
      <c r="A2" s="1"/>
      <c r="T2" s="2"/>
      <c r="U2" s="2"/>
      <c r="V2" s="2"/>
      <c r="W2" s="2"/>
      <c r="X2" s="2"/>
      <c r="Y2" s="2"/>
      <c r="Z2" s="2"/>
    </row>
    <row r="3" spans="1:26" x14ac:dyDescent="0.25">
      <c r="A3" s="1"/>
      <c r="T3" s="2"/>
      <c r="U3" s="2"/>
      <c r="V3" s="2"/>
      <c r="W3" s="2"/>
      <c r="X3" s="2"/>
      <c r="Y3" s="2"/>
      <c r="Z3" s="2"/>
    </row>
    <row r="4" spans="1:26" x14ac:dyDescent="0.25">
      <c r="A4" s="62" t="s">
        <v>141</v>
      </c>
      <c r="T4" s="2"/>
      <c r="U4" s="2"/>
      <c r="V4" s="2"/>
      <c r="W4" s="2"/>
      <c r="X4" s="2"/>
      <c r="Y4" s="2"/>
      <c r="Z4" s="2"/>
    </row>
    <row r="5" spans="1:26" x14ac:dyDescent="0.25">
      <c r="A5" s="62" t="s">
        <v>142</v>
      </c>
      <c r="T5" s="2"/>
      <c r="U5" s="2"/>
      <c r="V5" s="2"/>
      <c r="W5" s="2"/>
      <c r="X5" s="2"/>
      <c r="Y5" s="2"/>
      <c r="Z5" s="2"/>
    </row>
    <row r="6" spans="1:26" x14ac:dyDescent="0.25">
      <c r="A6" s="61" t="s">
        <v>143</v>
      </c>
      <c r="T6" s="2"/>
      <c r="U6" s="2"/>
      <c r="V6" s="2"/>
      <c r="W6" s="2"/>
      <c r="X6" s="2"/>
      <c r="Y6" s="2"/>
      <c r="Z6" s="2"/>
    </row>
    <row r="7" spans="1:26" x14ac:dyDescent="0.25">
      <c r="A7" s="61" t="s">
        <v>179</v>
      </c>
      <c r="T7" s="2"/>
      <c r="U7" s="2"/>
      <c r="V7" s="2"/>
      <c r="W7" s="2"/>
      <c r="X7" s="2"/>
      <c r="Y7" s="2"/>
      <c r="Z7" s="2"/>
    </row>
    <row r="8" spans="1:26" x14ac:dyDescent="0.25">
      <c r="T8" s="2"/>
      <c r="U8" s="2"/>
      <c r="V8" s="2"/>
      <c r="W8" s="2"/>
      <c r="X8" s="2"/>
      <c r="Y8" s="2"/>
      <c r="Z8" s="2"/>
    </row>
    <row r="9" spans="1:26" x14ac:dyDescent="0.25">
      <c r="A9" s="9" t="s">
        <v>60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0"/>
      <c r="S9" s="15"/>
      <c r="T9" s="2"/>
      <c r="U9" s="2"/>
      <c r="V9" s="2"/>
      <c r="W9" s="2"/>
      <c r="X9" s="2"/>
      <c r="Y9" s="2"/>
      <c r="Z9" s="2"/>
    </row>
    <row r="10" spans="1:26" x14ac:dyDescent="0.25">
      <c r="A10" s="10" t="s">
        <v>0</v>
      </c>
      <c r="B10" s="3">
        <v>43374</v>
      </c>
      <c r="C10" s="3">
        <v>43405</v>
      </c>
      <c r="D10" s="4">
        <v>43435</v>
      </c>
      <c r="E10" s="4">
        <v>43466</v>
      </c>
      <c r="F10" s="4">
        <v>43497</v>
      </c>
      <c r="G10" s="4">
        <v>43525</v>
      </c>
      <c r="H10" s="3">
        <v>43556</v>
      </c>
      <c r="I10" s="3">
        <v>43586</v>
      </c>
      <c r="J10" s="3">
        <v>43617</v>
      </c>
      <c r="K10" s="3">
        <v>43647</v>
      </c>
      <c r="L10" s="3">
        <v>43678</v>
      </c>
      <c r="M10" s="3">
        <v>43709</v>
      </c>
      <c r="N10" s="3">
        <v>43739</v>
      </c>
      <c r="O10" s="3">
        <v>43770</v>
      </c>
      <c r="P10" s="3">
        <v>43800</v>
      </c>
      <c r="Q10" s="3">
        <v>43831</v>
      </c>
      <c r="R10" s="21" t="s">
        <v>19</v>
      </c>
      <c r="S10" s="16" t="s">
        <v>61</v>
      </c>
      <c r="T10" s="2"/>
      <c r="U10" s="2"/>
      <c r="V10" s="2"/>
      <c r="W10" s="2"/>
      <c r="X10" s="2"/>
      <c r="Y10" s="2"/>
      <c r="Z10" s="2"/>
    </row>
    <row r="11" spans="1:26" x14ac:dyDescent="0.25">
      <c r="A11" s="5" t="s">
        <v>2</v>
      </c>
      <c r="B11" s="163">
        <v>129782</v>
      </c>
      <c r="C11" s="163">
        <v>130374</v>
      </c>
      <c r="D11" s="163">
        <v>130643</v>
      </c>
      <c r="E11" s="163">
        <v>130773</v>
      </c>
      <c r="F11" s="163">
        <v>130849</v>
      </c>
      <c r="G11" s="163">
        <v>130887</v>
      </c>
      <c r="H11" s="163">
        <v>130759</v>
      </c>
      <c r="I11" s="163">
        <v>130718</v>
      </c>
      <c r="J11" s="163">
        <v>130903</v>
      </c>
      <c r="K11" s="163">
        <v>130896</v>
      </c>
      <c r="L11" s="163">
        <v>131173</v>
      </c>
      <c r="M11" s="163">
        <v>131203</v>
      </c>
      <c r="N11" s="163">
        <v>131358</v>
      </c>
      <c r="O11" s="163">
        <v>131788</v>
      </c>
      <c r="P11" s="163">
        <v>131952</v>
      </c>
      <c r="Q11" s="163">
        <v>132073</v>
      </c>
      <c r="R11" s="164">
        <f>SUM(F11:Q11)</f>
        <v>1574559</v>
      </c>
      <c r="S11" s="18">
        <f>AVERAGE(F11:Q11)</f>
        <v>131213.25</v>
      </c>
      <c r="T11" s="2"/>
      <c r="U11" s="25"/>
      <c r="V11" s="2"/>
      <c r="W11" s="2"/>
      <c r="X11" s="11"/>
      <c r="Y11" s="11"/>
      <c r="Z11" s="2"/>
    </row>
    <row r="12" spans="1:26" x14ac:dyDescent="0.25">
      <c r="A12" s="5" t="s">
        <v>176</v>
      </c>
      <c r="B12" s="188">
        <v>703</v>
      </c>
      <c r="C12" s="188">
        <v>666</v>
      </c>
      <c r="D12" s="188">
        <v>653</v>
      </c>
      <c r="E12" s="188">
        <v>636</v>
      </c>
      <c r="F12" s="188">
        <v>622</v>
      </c>
      <c r="G12" s="188">
        <v>611</v>
      </c>
      <c r="H12" s="188">
        <v>599</v>
      </c>
      <c r="I12" s="187">
        <v>628</v>
      </c>
      <c r="J12" s="187">
        <v>757</v>
      </c>
      <c r="K12" s="187">
        <v>741</v>
      </c>
      <c r="L12" s="187">
        <v>724</v>
      </c>
      <c r="M12" s="187">
        <v>711</v>
      </c>
      <c r="N12" s="187">
        <v>694</v>
      </c>
      <c r="O12" s="187">
        <v>676</v>
      </c>
      <c r="P12" s="187">
        <v>653</v>
      </c>
      <c r="Q12" s="187">
        <v>640</v>
      </c>
      <c r="R12" s="164">
        <f t="shared" ref="R12:R16" si="0">SUM(F12:Q12)</f>
        <v>8056</v>
      </c>
      <c r="S12" s="18">
        <f t="shared" ref="S12:S17" si="1">AVERAGE(F12:Q12)</f>
        <v>671.33333333333337</v>
      </c>
      <c r="T12" s="2"/>
      <c r="U12" s="25"/>
      <c r="V12" s="2"/>
      <c r="W12" s="2"/>
      <c r="X12" s="11"/>
      <c r="Y12" s="11"/>
      <c r="Z12" s="2"/>
    </row>
    <row r="13" spans="1:26" x14ac:dyDescent="0.25">
      <c r="A13" s="5" t="s">
        <v>3</v>
      </c>
      <c r="B13" s="163">
        <v>18031</v>
      </c>
      <c r="C13" s="163">
        <v>18074</v>
      </c>
      <c r="D13" s="163">
        <v>18057</v>
      </c>
      <c r="E13" s="163">
        <v>18070</v>
      </c>
      <c r="F13" s="163">
        <v>18069</v>
      </c>
      <c r="G13" s="163">
        <v>18072</v>
      </c>
      <c r="H13" s="163">
        <v>18095</v>
      </c>
      <c r="I13" s="163">
        <v>18088</v>
      </c>
      <c r="J13" s="163">
        <v>18164</v>
      </c>
      <c r="K13" s="163">
        <v>18104</v>
      </c>
      <c r="L13" s="163">
        <v>18145</v>
      </c>
      <c r="M13" s="163">
        <v>18167</v>
      </c>
      <c r="N13" s="163">
        <v>18182</v>
      </c>
      <c r="O13" s="163">
        <v>18183</v>
      </c>
      <c r="P13" s="163">
        <v>18196</v>
      </c>
      <c r="Q13" s="163">
        <v>18190</v>
      </c>
      <c r="R13" s="164">
        <f t="shared" si="0"/>
        <v>217655</v>
      </c>
      <c r="S13" s="18">
        <f t="shared" si="1"/>
        <v>18137.916666666668</v>
      </c>
      <c r="T13" s="2"/>
      <c r="U13" s="2"/>
      <c r="V13" s="2"/>
      <c r="W13" s="2"/>
      <c r="X13" s="11"/>
      <c r="Y13" s="11"/>
      <c r="Z13" s="2"/>
    </row>
    <row r="14" spans="1:26" x14ac:dyDescent="0.25">
      <c r="A14" s="5" t="s">
        <v>5</v>
      </c>
      <c r="B14" s="163">
        <v>3028</v>
      </c>
      <c r="C14" s="163">
        <v>3031</v>
      </c>
      <c r="D14" s="163">
        <v>3034</v>
      </c>
      <c r="E14" s="163">
        <v>3029</v>
      </c>
      <c r="F14" s="163">
        <v>3027</v>
      </c>
      <c r="G14" s="163">
        <v>3028</v>
      </c>
      <c r="H14" s="163">
        <v>3026</v>
      </c>
      <c r="I14" s="163">
        <v>3032</v>
      </c>
      <c r="J14" s="163">
        <v>3030</v>
      </c>
      <c r="K14" s="163">
        <v>3024</v>
      </c>
      <c r="L14" s="163">
        <v>3021</v>
      </c>
      <c r="M14" s="163">
        <v>3020</v>
      </c>
      <c r="N14" s="163">
        <v>3028</v>
      </c>
      <c r="O14" s="163">
        <v>3033</v>
      </c>
      <c r="P14" s="163">
        <v>3022</v>
      </c>
      <c r="Q14" s="163">
        <v>3021</v>
      </c>
      <c r="R14" s="164">
        <f t="shared" si="0"/>
        <v>36312</v>
      </c>
      <c r="S14" s="18">
        <f t="shared" si="1"/>
        <v>3026</v>
      </c>
      <c r="T14" s="2"/>
      <c r="U14" s="2"/>
      <c r="V14" s="2"/>
      <c r="W14" s="2"/>
      <c r="X14" s="11"/>
      <c r="Y14" s="11"/>
      <c r="Z14" s="2"/>
    </row>
    <row r="15" spans="1:26" x14ac:dyDescent="0.25">
      <c r="A15" s="5" t="s">
        <v>4</v>
      </c>
      <c r="B15" s="163">
        <f>'WN Summary'!C42</f>
        <v>1779</v>
      </c>
      <c r="C15" s="163">
        <f>'WN Summary'!D42</f>
        <v>1785</v>
      </c>
      <c r="D15" s="163">
        <f>'WN Summary'!E42</f>
        <v>1782</v>
      </c>
      <c r="E15" s="163">
        <f>'WN Summary'!F42</f>
        <v>1781</v>
      </c>
      <c r="F15" s="163">
        <f>'WN Summary'!G42</f>
        <v>1785</v>
      </c>
      <c r="G15" s="163">
        <f>'WN Summary'!H42</f>
        <v>1786</v>
      </c>
      <c r="H15" s="163">
        <f>'WN Summary'!I42</f>
        <v>1786</v>
      </c>
      <c r="I15" s="163">
        <f>'WN Summary'!J42</f>
        <v>1785</v>
      </c>
      <c r="J15" s="163">
        <f>'WN Summary'!K42</f>
        <v>1783</v>
      </c>
      <c r="K15" s="163">
        <f>'WN Summary'!L42</f>
        <v>1786</v>
      </c>
      <c r="L15" s="163">
        <f>'WN Summary'!M42</f>
        <v>1789</v>
      </c>
      <c r="M15" s="163">
        <f>'WN Summary'!N42</f>
        <v>1790</v>
      </c>
      <c r="N15" s="163">
        <v>1789</v>
      </c>
      <c r="O15" s="163">
        <v>1793</v>
      </c>
      <c r="P15" s="163">
        <v>1799</v>
      </c>
      <c r="Q15" s="163">
        <v>1793</v>
      </c>
      <c r="R15" s="164">
        <f t="shared" si="0"/>
        <v>21464</v>
      </c>
      <c r="S15" s="18">
        <f t="shared" si="1"/>
        <v>1788.6666666666667</v>
      </c>
      <c r="T15" s="2"/>
      <c r="U15" s="2"/>
      <c r="V15" s="2"/>
      <c r="W15" s="2"/>
      <c r="X15" s="11"/>
      <c r="Y15" s="11"/>
      <c r="Z15" s="2"/>
    </row>
    <row r="16" spans="1:26" x14ac:dyDescent="0.25">
      <c r="A16" s="5" t="s">
        <v>6</v>
      </c>
      <c r="B16" s="163">
        <f>'WN Summary'!C66</f>
        <v>940</v>
      </c>
      <c r="C16" s="163">
        <f>'WN Summary'!D66</f>
        <v>943</v>
      </c>
      <c r="D16" s="163">
        <f>'WN Summary'!E66</f>
        <v>946</v>
      </c>
      <c r="E16" s="163">
        <f>'WN Summary'!F66</f>
        <v>947</v>
      </c>
      <c r="F16" s="163">
        <f>'WN Summary'!G66</f>
        <v>946</v>
      </c>
      <c r="G16" s="163">
        <f>'WN Summary'!H66</f>
        <v>946</v>
      </c>
      <c r="H16" s="163">
        <f>'WN Summary'!I66</f>
        <v>946</v>
      </c>
      <c r="I16" s="163">
        <f>'WN Summary'!J66</f>
        <v>945</v>
      </c>
      <c r="J16" s="163">
        <f>'WN Summary'!K66</f>
        <v>943</v>
      </c>
      <c r="K16" s="163">
        <f>'WN Summary'!L66</f>
        <v>946</v>
      </c>
      <c r="L16" s="163">
        <f>'WN Summary'!M66</f>
        <v>946</v>
      </c>
      <c r="M16" s="163">
        <f>'WN Summary'!N66</f>
        <v>945</v>
      </c>
      <c r="N16" s="163">
        <v>944</v>
      </c>
      <c r="O16" s="163">
        <v>943</v>
      </c>
      <c r="P16" s="163">
        <v>941</v>
      </c>
      <c r="Q16" s="163">
        <v>939</v>
      </c>
      <c r="R16" s="164">
        <f t="shared" si="0"/>
        <v>11330</v>
      </c>
      <c r="S16" s="18">
        <f t="shared" si="1"/>
        <v>944.16666666666663</v>
      </c>
      <c r="T16" s="2"/>
      <c r="U16" s="2"/>
      <c r="V16" s="2"/>
      <c r="W16" s="2"/>
      <c r="X16" s="11"/>
      <c r="Y16" s="11"/>
      <c r="Z16" s="2"/>
    </row>
    <row r="17" spans="1:26" x14ac:dyDescent="0.25">
      <c r="A17" s="10" t="s">
        <v>1</v>
      </c>
      <c r="B17" s="165">
        <f t="shared" ref="B17:Q17" si="2">SUM(B11:B16)</f>
        <v>154263</v>
      </c>
      <c r="C17" s="165">
        <f t="shared" si="2"/>
        <v>154873</v>
      </c>
      <c r="D17" s="165">
        <f t="shared" si="2"/>
        <v>155115</v>
      </c>
      <c r="E17" s="165">
        <f t="shared" si="2"/>
        <v>155236</v>
      </c>
      <c r="F17" s="165">
        <f t="shared" si="2"/>
        <v>155298</v>
      </c>
      <c r="G17" s="165">
        <f t="shared" si="2"/>
        <v>155330</v>
      </c>
      <c r="H17" s="165">
        <f t="shared" si="2"/>
        <v>155211</v>
      </c>
      <c r="I17" s="165">
        <f t="shared" si="2"/>
        <v>155196</v>
      </c>
      <c r="J17" s="165">
        <f t="shared" si="2"/>
        <v>155580</v>
      </c>
      <c r="K17" s="165">
        <f t="shared" si="2"/>
        <v>155497</v>
      </c>
      <c r="L17" s="165">
        <f t="shared" si="2"/>
        <v>155798</v>
      </c>
      <c r="M17" s="165">
        <f t="shared" si="2"/>
        <v>155836</v>
      </c>
      <c r="N17" s="165">
        <f t="shared" si="2"/>
        <v>155995</v>
      </c>
      <c r="O17" s="165">
        <f t="shared" si="2"/>
        <v>156416</v>
      </c>
      <c r="P17" s="165">
        <f t="shared" si="2"/>
        <v>156563</v>
      </c>
      <c r="Q17" s="165">
        <f t="shared" si="2"/>
        <v>156656</v>
      </c>
      <c r="R17" s="164">
        <f>SUM(F17:Q17)</f>
        <v>1869376</v>
      </c>
      <c r="S17" s="18">
        <f t="shared" si="1"/>
        <v>155781.33333333334</v>
      </c>
      <c r="T17" s="2"/>
      <c r="U17" s="12"/>
      <c r="V17" s="12"/>
      <c r="W17" s="12"/>
      <c r="X17" s="2"/>
      <c r="Y17" s="2"/>
      <c r="Z17" s="2"/>
    </row>
    <row r="18" spans="1:26" x14ac:dyDescent="0.25">
      <c r="T18" s="2"/>
      <c r="U18" s="2"/>
      <c r="V18" s="2"/>
      <c r="W18" s="2"/>
      <c r="X18" s="2"/>
      <c r="Y18" s="2"/>
      <c r="Z18" s="2"/>
    </row>
    <row r="19" spans="1:26" x14ac:dyDescent="0.25">
      <c r="T19" s="2"/>
      <c r="U19" s="2"/>
      <c r="V19" s="2"/>
      <c r="W19" s="2"/>
      <c r="X19" s="2"/>
      <c r="Y19" s="2"/>
      <c r="Z19" s="2"/>
    </row>
    <row r="20" spans="1:26" x14ac:dyDescent="0.25">
      <c r="A20" s="9" t="s">
        <v>63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20"/>
      <c r="S20" s="15"/>
      <c r="T20" s="2"/>
      <c r="U20" s="2"/>
      <c r="V20" s="2"/>
      <c r="W20" s="2"/>
      <c r="X20" s="2"/>
      <c r="Y20" s="2"/>
      <c r="Z20" s="2"/>
    </row>
    <row r="21" spans="1:26" x14ac:dyDescent="0.25">
      <c r="A21" s="10" t="s">
        <v>0</v>
      </c>
      <c r="B21" s="3">
        <f t="shared" ref="B21:Q21" si="3">B10</f>
        <v>43374</v>
      </c>
      <c r="C21" s="3">
        <f t="shared" si="3"/>
        <v>43405</v>
      </c>
      <c r="D21" s="4">
        <f t="shared" si="3"/>
        <v>43435</v>
      </c>
      <c r="E21" s="4">
        <f t="shared" si="3"/>
        <v>43466</v>
      </c>
      <c r="F21" s="4">
        <f t="shared" si="3"/>
        <v>43497</v>
      </c>
      <c r="G21" s="4">
        <f t="shared" si="3"/>
        <v>43525</v>
      </c>
      <c r="H21" s="3">
        <f t="shared" si="3"/>
        <v>43556</v>
      </c>
      <c r="I21" s="3">
        <f t="shared" si="3"/>
        <v>43586</v>
      </c>
      <c r="J21" s="3">
        <f t="shared" si="3"/>
        <v>43617</v>
      </c>
      <c r="K21" s="3">
        <f t="shared" si="3"/>
        <v>43647</v>
      </c>
      <c r="L21" s="3">
        <f t="shared" si="3"/>
        <v>43678</v>
      </c>
      <c r="M21" s="3">
        <f t="shared" si="3"/>
        <v>43709</v>
      </c>
      <c r="N21" s="3">
        <f t="shared" si="3"/>
        <v>43739</v>
      </c>
      <c r="O21" s="3">
        <f t="shared" si="3"/>
        <v>43770</v>
      </c>
      <c r="P21" s="3">
        <f t="shared" si="3"/>
        <v>43800</v>
      </c>
      <c r="Q21" s="3">
        <f t="shared" si="3"/>
        <v>43831</v>
      </c>
      <c r="R21" s="21" t="s">
        <v>19</v>
      </c>
      <c r="S21" s="16" t="s">
        <v>61</v>
      </c>
      <c r="T21" s="2"/>
      <c r="U21" s="2"/>
      <c r="V21" s="2"/>
      <c r="W21" s="2"/>
      <c r="X21" s="2"/>
      <c r="Y21" s="2"/>
      <c r="Z21" s="2"/>
    </row>
    <row r="22" spans="1:26" x14ac:dyDescent="0.25">
      <c r="A22" s="5" t="str">
        <f>A11</f>
        <v>RG-Residential Total</v>
      </c>
      <c r="B22" s="163">
        <v>132073</v>
      </c>
      <c r="C22" s="163">
        <v>132073</v>
      </c>
      <c r="D22" s="163">
        <v>132073</v>
      </c>
      <c r="E22" s="163">
        <v>132073</v>
      </c>
      <c r="F22" s="163">
        <v>132073</v>
      </c>
      <c r="G22" s="163">
        <v>132073</v>
      </c>
      <c r="H22" s="163">
        <v>132073</v>
      </c>
      <c r="I22" s="163">
        <v>132073</v>
      </c>
      <c r="J22" s="163">
        <v>132073</v>
      </c>
      <c r="K22" s="163">
        <v>132073</v>
      </c>
      <c r="L22" s="163">
        <v>132073</v>
      </c>
      <c r="M22" s="163">
        <v>132073</v>
      </c>
      <c r="N22" s="163">
        <v>132073</v>
      </c>
      <c r="O22" s="163">
        <v>132073</v>
      </c>
      <c r="P22" s="163">
        <v>132073</v>
      </c>
      <c r="Q22" s="163">
        <v>132073</v>
      </c>
      <c r="R22" s="164">
        <f>SUM(F22:Q22)</f>
        <v>1584876</v>
      </c>
      <c r="S22" s="18">
        <f>AVERAGE(F22:Q22)</f>
        <v>132073</v>
      </c>
      <c r="T22" s="2"/>
      <c r="U22" s="2"/>
      <c r="V22" s="2"/>
      <c r="W22" s="2"/>
      <c r="X22" s="11"/>
      <c r="Y22" s="11"/>
      <c r="Z22" s="2"/>
    </row>
    <row r="23" spans="1:26" x14ac:dyDescent="0.25">
      <c r="A23" s="5" t="s">
        <v>176</v>
      </c>
      <c r="B23" s="163">
        <v>640</v>
      </c>
      <c r="C23" s="163">
        <v>640</v>
      </c>
      <c r="D23" s="163">
        <v>640</v>
      </c>
      <c r="E23" s="163">
        <v>640</v>
      </c>
      <c r="F23" s="163">
        <v>640</v>
      </c>
      <c r="G23" s="163">
        <v>640</v>
      </c>
      <c r="H23" s="163">
        <v>640</v>
      </c>
      <c r="I23" s="163">
        <v>640</v>
      </c>
      <c r="J23" s="163">
        <v>640</v>
      </c>
      <c r="K23" s="163">
        <v>640</v>
      </c>
      <c r="L23" s="163">
        <v>640</v>
      </c>
      <c r="M23" s="163">
        <v>640</v>
      </c>
      <c r="N23" s="163">
        <v>640</v>
      </c>
      <c r="O23" s="163">
        <v>640</v>
      </c>
      <c r="P23" s="163">
        <v>640</v>
      </c>
      <c r="Q23" s="163">
        <v>640</v>
      </c>
      <c r="R23" s="164">
        <f t="shared" ref="R23:R27" si="4">SUM(F23:Q23)</f>
        <v>7680</v>
      </c>
      <c r="S23" s="18">
        <f t="shared" ref="S23:S28" si="5">AVERAGE(F23:Q23)</f>
        <v>640</v>
      </c>
      <c r="T23" s="2"/>
      <c r="U23" s="2"/>
      <c r="V23" s="2"/>
      <c r="W23" s="2"/>
      <c r="X23" s="11"/>
      <c r="Y23" s="11"/>
      <c r="Z23" s="2"/>
    </row>
    <row r="24" spans="1:26" x14ac:dyDescent="0.25">
      <c r="A24" s="5" t="str">
        <f>A13</f>
        <v>CB-Commercial Total</v>
      </c>
      <c r="B24" s="163">
        <v>18190</v>
      </c>
      <c r="C24" s="163">
        <v>18190</v>
      </c>
      <c r="D24" s="163">
        <v>18190</v>
      </c>
      <c r="E24" s="163">
        <v>18190</v>
      </c>
      <c r="F24" s="163">
        <v>18190</v>
      </c>
      <c r="G24" s="163">
        <v>18190</v>
      </c>
      <c r="H24" s="163">
        <v>18190</v>
      </c>
      <c r="I24" s="163">
        <v>18190</v>
      </c>
      <c r="J24" s="163">
        <v>18190</v>
      </c>
      <c r="K24" s="163">
        <v>18190</v>
      </c>
      <c r="L24" s="163">
        <v>18190</v>
      </c>
      <c r="M24" s="163">
        <v>18190</v>
      </c>
      <c r="N24" s="163">
        <v>18190</v>
      </c>
      <c r="O24" s="163">
        <v>18190</v>
      </c>
      <c r="P24" s="163">
        <v>18190</v>
      </c>
      <c r="Q24" s="163">
        <v>18190</v>
      </c>
      <c r="R24" s="164">
        <f t="shared" si="4"/>
        <v>218280</v>
      </c>
      <c r="S24" s="18">
        <f t="shared" si="5"/>
        <v>18190</v>
      </c>
      <c r="T24" s="2"/>
      <c r="U24" s="2"/>
      <c r="V24" s="2"/>
      <c r="W24" s="2"/>
      <c r="X24" s="11"/>
      <c r="Y24" s="11"/>
      <c r="Z24" s="2"/>
    </row>
    <row r="25" spans="1:26" x14ac:dyDescent="0.25">
      <c r="A25" s="5" t="str">
        <f>A14</f>
        <v>SH-Small Heating</v>
      </c>
      <c r="B25" s="163">
        <v>3021</v>
      </c>
      <c r="C25" s="163">
        <v>3021</v>
      </c>
      <c r="D25" s="163">
        <v>3021</v>
      </c>
      <c r="E25" s="163">
        <v>3021</v>
      </c>
      <c r="F25" s="163">
        <v>3021</v>
      </c>
      <c r="G25" s="163">
        <v>3021</v>
      </c>
      <c r="H25" s="163">
        <v>3021</v>
      </c>
      <c r="I25" s="163">
        <v>3021</v>
      </c>
      <c r="J25" s="163">
        <v>3021</v>
      </c>
      <c r="K25" s="163">
        <v>3021</v>
      </c>
      <c r="L25" s="163">
        <v>3021</v>
      </c>
      <c r="M25" s="163">
        <v>3021</v>
      </c>
      <c r="N25" s="163">
        <v>3021</v>
      </c>
      <c r="O25" s="163">
        <v>3021</v>
      </c>
      <c r="P25" s="163">
        <v>3021</v>
      </c>
      <c r="Q25" s="163">
        <v>3021</v>
      </c>
      <c r="R25" s="164">
        <f t="shared" si="4"/>
        <v>36252</v>
      </c>
      <c r="S25" s="18">
        <f t="shared" si="5"/>
        <v>3021</v>
      </c>
      <c r="T25" s="2"/>
      <c r="U25" s="2"/>
      <c r="V25" s="2"/>
      <c r="W25" s="2"/>
      <c r="X25" s="11"/>
      <c r="Y25" s="11"/>
      <c r="Z25" s="2"/>
    </row>
    <row r="26" spans="1:26" x14ac:dyDescent="0.25">
      <c r="A26" s="5" t="str">
        <f>A15</f>
        <v>GP-General Power Total</v>
      </c>
      <c r="B26" s="163">
        <v>1793</v>
      </c>
      <c r="C26" s="163">
        <v>1793</v>
      </c>
      <c r="D26" s="163">
        <v>1793</v>
      </c>
      <c r="E26" s="163">
        <v>1793</v>
      </c>
      <c r="F26" s="163">
        <v>1793</v>
      </c>
      <c r="G26" s="163">
        <v>1793</v>
      </c>
      <c r="H26" s="163">
        <v>1793</v>
      </c>
      <c r="I26" s="163">
        <v>1793</v>
      </c>
      <c r="J26" s="163">
        <v>1793</v>
      </c>
      <c r="K26" s="163">
        <v>1793</v>
      </c>
      <c r="L26" s="163">
        <v>1793</v>
      </c>
      <c r="M26" s="163">
        <v>1793</v>
      </c>
      <c r="N26" s="163">
        <v>1793</v>
      </c>
      <c r="O26" s="163">
        <v>1793</v>
      </c>
      <c r="P26" s="163">
        <v>1793</v>
      </c>
      <c r="Q26" s="163">
        <v>1793</v>
      </c>
      <c r="R26" s="164">
        <f t="shared" si="4"/>
        <v>21516</v>
      </c>
      <c r="S26" s="18">
        <f t="shared" si="5"/>
        <v>1793</v>
      </c>
      <c r="T26" s="2"/>
      <c r="U26" s="2"/>
      <c r="V26" s="2"/>
      <c r="W26" s="2"/>
      <c r="X26" s="11"/>
      <c r="Y26" s="11"/>
      <c r="Z26" s="2"/>
    </row>
    <row r="27" spans="1:26" x14ac:dyDescent="0.25">
      <c r="A27" s="5" t="str">
        <f>A16</f>
        <v>TEB-Total Electric Bldg Total</v>
      </c>
      <c r="B27" s="163">
        <v>939</v>
      </c>
      <c r="C27" s="163">
        <v>939</v>
      </c>
      <c r="D27" s="163">
        <v>939</v>
      </c>
      <c r="E27" s="163">
        <v>939</v>
      </c>
      <c r="F27" s="163">
        <v>939</v>
      </c>
      <c r="G27" s="163">
        <v>939</v>
      </c>
      <c r="H27" s="163">
        <v>939</v>
      </c>
      <c r="I27" s="163">
        <v>939</v>
      </c>
      <c r="J27" s="163">
        <v>939</v>
      </c>
      <c r="K27" s="163">
        <v>939</v>
      </c>
      <c r="L27" s="163">
        <v>939</v>
      </c>
      <c r="M27" s="163">
        <v>939</v>
      </c>
      <c r="N27" s="163">
        <v>939</v>
      </c>
      <c r="O27" s="163">
        <v>939</v>
      </c>
      <c r="P27" s="163">
        <v>939</v>
      </c>
      <c r="Q27" s="163">
        <v>939</v>
      </c>
      <c r="R27" s="164">
        <f t="shared" si="4"/>
        <v>11268</v>
      </c>
      <c r="S27" s="18">
        <f t="shared" si="5"/>
        <v>939</v>
      </c>
      <c r="T27" s="2"/>
      <c r="U27" s="2"/>
      <c r="V27" s="2"/>
      <c r="W27" s="2"/>
      <c r="X27" s="11"/>
      <c r="Y27" s="11"/>
      <c r="Z27" s="2"/>
    </row>
    <row r="28" spans="1:26" x14ac:dyDescent="0.25">
      <c r="A28" s="10" t="s">
        <v>1</v>
      </c>
      <c r="B28" s="165">
        <f t="shared" ref="B28:M28" si="6">SUM(B22:B27)</f>
        <v>156656</v>
      </c>
      <c r="C28" s="165">
        <f t="shared" si="6"/>
        <v>156656</v>
      </c>
      <c r="D28" s="165">
        <f t="shared" si="6"/>
        <v>156656</v>
      </c>
      <c r="E28" s="165">
        <f t="shared" si="6"/>
        <v>156656</v>
      </c>
      <c r="F28" s="165">
        <f t="shared" si="6"/>
        <v>156656</v>
      </c>
      <c r="G28" s="165">
        <f t="shared" si="6"/>
        <v>156656</v>
      </c>
      <c r="H28" s="165">
        <f t="shared" si="6"/>
        <v>156656</v>
      </c>
      <c r="I28" s="165">
        <f t="shared" si="6"/>
        <v>156656</v>
      </c>
      <c r="J28" s="165">
        <f t="shared" si="6"/>
        <v>156656</v>
      </c>
      <c r="K28" s="165">
        <f t="shared" si="6"/>
        <v>156656</v>
      </c>
      <c r="L28" s="165">
        <f t="shared" si="6"/>
        <v>156656</v>
      </c>
      <c r="M28" s="165">
        <f t="shared" si="6"/>
        <v>156656</v>
      </c>
      <c r="N28" s="165"/>
      <c r="O28" s="165"/>
      <c r="P28" s="165"/>
      <c r="Q28" s="165"/>
      <c r="R28" s="164">
        <f>SUM(F28:Q28)</f>
        <v>1253248</v>
      </c>
      <c r="S28" s="18">
        <f t="shared" si="5"/>
        <v>156656</v>
      </c>
      <c r="T28" s="2"/>
      <c r="U28" s="12"/>
      <c r="V28" s="12"/>
      <c r="W28" s="12"/>
      <c r="X28" s="2"/>
      <c r="Y28" s="2"/>
      <c r="Z28" s="2"/>
    </row>
    <row r="29" spans="1:26" x14ac:dyDescent="0.25">
      <c r="T29" s="2"/>
      <c r="U29" s="2"/>
      <c r="V29" s="2"/>
      <c r="W29" s="2"/>
      <c r="X29" s="2"/>
      <c r="Y29" s="2"/>
      <c r="Z29" s="2"/>
    </row>
    <row r="30" spans="1:26" x14ac:dyDescent="0.25">
      <c r="T30" s="2"/>
      <c r="U30" t="s">
        <v>66</v>
      </c>
      <c r="V30" t="s">
        <v>67</v>
      </c>
      <c r="W30" s="2"/>
      <c r="X30" s="2"/>
      <c r="Y30" s="2"/>
      <c r="Z30" s="2"/>
    </row>
    <row r="31" spans="1:26" x14ac:dyDescent="0.25">
      <c r="A31" s="14" t="s">
        <v>138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23"/>
      <c r="S31" s="15"/>
      <c r="T31" s="2"/>
      <c r="W31" s="2"/>
      <c r="X31" s="2"/>
      <c r="Y31" s="2"/>
      <c r="Z31" s="2"/>
    </row>
    <row r="32" spans="1:26" x14ac:dyDescent="0.25">
      <c r="A32" s="15" t="s">
        <v>0</v>
      </c>
      <c r="B32" s="6">
        <f t="shared" ref="B32:Q32" si="7">B10</f>
        <v>43374</v>
      </c>
      <c r="C32" s="6">
        <f t="shared" si="7"/>
        <v>43405</v>
      </c>
      <c r="D32" s="7">
        <f t="shared" si="7"/>
        <v>43435</v>
      </c>
      <c r="E32" s="7">
        <f t="shared" si="7"/>
        <v>43466</v>
      </c>
      <c r="F32" s="7">
        <f t="shared" si="7"/>
        <v>43497</v>
      </c>
      <c r="G32" s="7">
        <f t="shared" si="7"/>
        <v>43525</v>
      </c>
      <c r="H32" s="6">
        <f t="shared" si="7"/>
        <v>43556</v>
      </c>
      <c r="I32" s="6">
        <f t="shared" si="7"/>
        <v>43586</v>
      </c>
      <c r="J32" s="6">
        <f t="shared" si="7"/>
        <v>43617</v>
      </c>
      <c r="K32" s="6">
        <f t="shared" si="7"/>
        <v>43647</v>
      </c>
      <c r="L32" s="6">
        <f t="shared" si="7"/>
        <v>43678</v>
      </c>
      <c r="M32" s="6">
        <f t="shared" si="7"/>
        <v>43709</v>
      </c>
      <c r="N32" s="6">
        <f t="shared" si="7"/>
        <v>43739</v>
      </c>
      <c r="O32" s="6">
        <f t="shared" si="7"/>
        <v>43770</v>
      </c>
      <c r="P32" s="6">
        <f t="shared" si="7"/>
        <v>43800</v>
      </c>
      <c r="Q32" s="6">
        <f t="shared" si="7"/>
        <v>43831</v>
      </c>
      <c r="R32" s="24" t="s">
        <v>19</v>
      </c>
      <c r="S32" s="16" t="s">
        <v>61</v>
      </c>
      <c r="T32" s="2"/>
      <c r="W32" s="2"/>
      <c r="X32" s="2"/>
      <c r="Y32" s="2"/>
      <c r="Z32" s="2"/>
    </row>
    <row r="33" spans="1:26" x14ac:dyDescent="0.25">
      <c r="A33" s="17" t="str">
        <f>A11</f>
        <v>RG-Residential Total</v>
      </c>
      <c r="B33" s="166">
        <f>B22-B11</f>
        <v>2291</v>
      </c>
      <c r="C33" s="166">
        <f t="shared" ref="B33:C35" si="8">C22-C11</f>
        <v>1699</v>
      </c>
      <c r="D33" s="166">
        <f t="shared" ref="D33:M34" si="9">D22-D11</f>
        <v>1430</v>
      </c>
      <c r="E33" s="166">
        <f t="shared" si="9"/>
        <v>1300</v>
      </c>
      <c r="F33" s="166">
        <f t="shared" si="9"/>
        <v>1224</v>
      </c>
      <c r="G33" s="166">
        <f t="shared" si="9"/>
        <v>1186</v>
      </c>
      <c r="H33" s="166">
        <f t="shared" si="9"/>
        <v>1314</v>
      </c>
      <c r="I33" s="166">
        <f t="shared" si="9"/>
        <v>1355</v>
      </c>
      <c r="J33" s="166">
        <f t="shared" si="9"/>
        <v>1170</v>
      </c>
      <c r="K33" s="166">
        <f t="shared" si="9"/>
        <v>1177</v>
      </c>
      <c r="L33" s="166">
        <f t="shared" si="9"/>
        <v>900</v>
      </c>
      <c r="M33" s="166">
        <f t="shared" si="9"/>
        <v>870</v>
      </c>
      <c r="N33" s="166">
        <f t="shared" ref="N33:Q33" si="10">N22-N11</f>
        <v>715</v>
      </c>
      <c r="O33" s="166">
        <f t="shared" si="10"/>
        <v>285</v>
      </c>
      <c r="P33" s="166">
        <f t="shared" si="10"/>
        <v>121</v>
      </c>
      <c r="Q33" s="166">
        <f t="shared" si="10"/>
        <v>0</v>
      </c>
      <c r="R33" s="81">
        <f>SUM(F33:Q33)</f>
        <v>10317</v>
      </c>
      <c r="S33" s="18">
        <f>AVERAGE(F33:Q33)</f>
        <v>859.75</v>
      </c>
      <c r="T33" s="2"/>
      <c r="U33" s="26">
        <f t="shared" ref="U33:U38" si="11">SUM(J33:M33)</f>
        <v>4117</v>
      </c>
      <c r="V33" s="26">
        <f>SUM(F33:I33,N33:Q33)</f>
        <v>6200</v>
      </c>
      <c r="W33" s="2"/>
      <c r="X33" s="11"/>
      <c r="Y33" s="11"/>
      <c r="Z33" s="2"/>
    </row>
    <row r="34" spans="1:26" x14ac:dyDescent="0.25">
      <c r="A34" s="5" t="s">
        <v>176</v>
      </c>
      <c r="B34" s="166">
        <f t="shared" si="8"/>
        <v>-63</v>
      </c>
      <c r="C34" s="166">
        <f t="shared" si="8"/>
        <v>-26</v>
      </c>
      <c r="D34" s="166">
        <f t="shared" si="9"/>
        <v>-13</v>
      </c>
      <c r="E34" s="166">
        <f t="shared" si="9"/>
        <v>4</v>
      </c>
      <c r="F34" s="166">
        <f t="shared" si="9"/>
        <v>18</v>
      </c>
      <c r="G34" s="166">
        <f t="shared" si="9"/>
        <v>29</v>
      </c>
      <c r="H34" s="166">
        <f t="shared" si="9"/>
        <v>41</v>
      </c>
      <c r="I34" s="166">
        <f t="shared" si="9"/>
        <v>12</v>
      </c>
      <c r="J34" s="166">
        <f t="shared" si="9"/>
        <v>-117</v>
      </c>
      <c r="K34" s="166">
        <f t="shared" si="9"/>
        <v>-101</v>
      </c>
      <c r="L34" s="166">
        <f t="shared" si="9"/>
        <v>-84</v>
      </c>
      <c r="M34" s="166">
        <f t="shared" si="9"/>
        <v>-71</v>
      </c>
      <c r="N34" s="166">
        <f t="shared" ref="N34:Q34" si="12">N23-N12</f>
        <v>-54</v>
      </c>
      <c r="O34" s="166">
        <f t="shared" si="12"/>
        <v>-36</v>
      </c>
      <c r="P34" s="166">
        <f t="shared" si="12"/>
        <v>-13</v>
      </c>
      <c r="Q34" s="166">
        <f t="shared" si="12"/>
        <v>0</v>
      </c>
      <c r="R34" s="81">
        <f t="shared" ref="R34:R38" si="13">SUM(F34:Q34)</f>
        <v>-376</v>
      </c>
      <c r="S34" s="18">
        <f t="shared" ref="S34:S39" si="14">AVERAGE(F34:Q34)</f>
        <v>-31.333333333333332</v>
      </c>
      <c r="T34" s="2"/>
      <c r="U34" s="26">
        <f t="shared" si="11"/>
        <v>-373</v>
      </c>
      <c r="V34" s="26">
        <f t="shared" ref="V34:V38" si="15">SUM(F34:I34,N34:Q34)</f>
        <v>-3</v>
      </c>
      <c r="W34" s="2"/>
      <c r="X34" s="11"/>
      <c r="Y34" s="11"/>
      <c r="Z34" s="2"/>
    </row>
    <row r="35" spans="1:26" x14ac:dyDescent="0.25">
      <c r="A35" s="17" t="str">
        <f>A13</f>
        <v>CB-Commercial Total</v>
      </c>
      <c r="B35" s="166">
        <f t="shared" si="8"/>
        <v>159</v>
      </c>
      <c r="C35" s="166">
        <f t="shared" si="8"/>
        <v>116</v>
      </c>
      <c r="D35" s="166">
        <f t="shared" ref="D35:M35" si="16">D24-D13</f>
        <v>133</v>
      </c>
      <c r="E35" s="166">
        <f t="shared" si="16"/>
        <v>120</v>
      </c>
      <c r="F35" s="166">
        <f t="shared" si="16"/>
        <v>121</v>
      </c>
      <c r="G35" s="166">
        <f t="shared" si="16"/>
        <v>118</v>
      </c>
      <c r="H35" s="166">
        <f t="shared" si="16"/>
        <v>95</v>
      </c>
      <c r="I35" s="166">
        <f t="shared" si="16"/>
        <v>102</v>
      </c>
      <c r="J35" s="166">
        <f t="shared" si="16"/>
        <v>26</v>
      </c>
      <c r="K35" s="166">
        <f t="shared" si="16"/>
        <v>86</v>
      </c>
      <c r="L35" s="166">
        <f t="shared" si="16"/>
        <v>45</v>
      </c>
      <c r="M35" s="166">
        <f t="shared" si="16"/>
        <v>23</v>
      </c>
      <c r="N35" s="166">
        <f t="shared" ref="N35:Q35" si="17">N24-N13</f>
        <v>8</v>
      </c>
      <c r="O35" s="166">
        <f t="shared" si="17"/>
        <v>7</v>
      </c>
      <c r="P35" s="166">
        <f t="shared" si="17"/>
        <v>-6</v>
      </c>
      <c r="Q35" s="166">
        <f t="shared" si="17"/>
        <v>0</v>
      </c>
      <c r="R35" s="81">
        <f t="shared" si="13"/>
        <v>625</v>
      </c>
      <c r="S35" s="18">
        <f t="shared" si="14"/>
        <v>52.083333333333336</v>
      </c>
      <c r="T35" s="2"/>
      <c r="U35" s="26">
        <f t="shared" si="11"/>
        <v>180</v>
      </c>
      <c r="V35" s="26">
        <f t="shared" si="15"/>
        <v>445</v>
      </c>
      <c r="W35" s="2"/>
      <c r="X35" s="11"/>
      <c r="Y35" s="11"/>
      <c r="Z35" s="2"/>
    </row>
    <row r="36" spans="1:26" x14ac:dyDescent="0.25">
      <c r="A36" s="17" t="str">
        <f>A14</f>
        <v>SH-Small Heating</v>
      </c>
      <c r="B36" s="166">
        <f t="shared" ref="B36:M36" si="18">B25-B14</f>
        <v>-7</v>
      </c>
      <c r="C36" s="166">
        <f t="shared" si="18"/>
        <v>-10</v>
      </c>
      <c r="D36" s="166">
        <f t="shared" si="18"/>
        <v>-13</v>
      </c>
      <c r="E36" s="166">
        <f t="shared" si="18"/>
        <v>-8</v>
      </c>
      <c r="F36" s="166">
        <f t="shared" si="18"/>
        <v>-6</v>
      </c>
      <c r="G36" s="166">
        <f t="shared" si="18"/>
        <v>-7</v>
      </c>
      <c r="H36" s="166">
        <f t="shared" si="18"/>
        <v>-5</v>
      </c>
      <c r="I36" s="166">
        <f t="shared" si="18"/>
        <v>-11</v>
      </c>
      <c r="J36" s="166">
        <f t="shared" si="18"/>
        <v>-9</v>
      </c>
      <c r="K36" s="166">
        <f t="shared" si="18"/>
        <v>-3</v>
      </c>
      <c r="L36" s="166">
        <f t="shared" si="18"/>
        <v>0</v>
      </c>
      <c r="M36" s="166">
        <f t="shared" si="18"/>
        <v>1</v>
      </c>
      <c r="N36" s="166">
        <f t="shared" ref="N36:Q36" si="19">N25-N14</f>
        <v>-7</v>
      </c>
      <c r="O36" s="166">
        <f t="shared" si="19"/>
        <v>-12</v>
      </c>
      <c r="P36" s="166">
        <f t="shared" si="19"/>
        <v>-1</v>
      </c>
      <c r="Q36" s="166">
        <f t="shared" si="19"/>
        <v>0</v>
      </c>
      <c r="R36" s="81">
        <f t="shared" si="13"/>
        <v>-60</v>
      </c>
      <c r="S36" s="18">
        <f t="shared" si="14"/>
        <v>-5</v>
      </c>
      <c r="T36" s="2"/>
      <c r="U36" s="26">
        <f t="shared" si="11"/>
        <v>-11</v>
      </c>
      <c r="V36" s="26">
        <f t="shared" si="15"/>
        <v>-49</v>
      </c>
      <c r="W36" s="2"/>
      <c r="X36" s="11"/>
      <c r="Y36" s="11"/>
      <c r="Z36" s="2"/>
    </row>
    <row r="37" spans="1:26" x14ac:dyDescent="0.25">
      <c r="A37" s="17" t="str">
        <f>A15</f>
        <v>GP-General Power Total</v>
      </c>
      <c r="B37" s="166">
        <f t="shared" ref="B37:M37" si="20">B26-B15</f>
        <v>14</v>
      </c>
      <c r="C37" s="166">
        <f t="shared" si="20"/>
        <v>8</v>
      </c>
      <c r="D37" s="166">
        <f t="shared" si="20"/>
        <v>11</v>
      </c>
      <c r="E37" s="166">
        <f t="shared" si="20"/>
        <v>12</v>
      </c>
      <c r="F37" s="166">
        <f t="shared" si="20"/>
        <v>8</v>
      </c>
      <c r="G37" s="166">
        <f t="shared" si="20"/>
        <v>7</v>
      </c>
      <c r="H37" s="166">
        <f t="shared" si="20"/>
        <v>7</v>
      </c>
      <c r="I37" s="166">
        <f t="shared" si="20"/>
        <v>8</v>
      </c>
      <c r="J37" s="166">
        <f t="shared" si="20"/>
        <v>10</v>
      </c>
      <c r="K37" s="166">
        <f t="shared" si="20"/>
        <v>7</v>
      </c>
      <c r="L37" s="166">
        <f t="shared" si="20"/>
        <v>4</v>
      </c>
      <c r="M37" s="166">
        <f t="shared" si="20"/>
        <v>3</v>
      </c>
      <c r="N37" s="166">
        <f t="shared" ref="N37:Q37" si="21">N26-N15</f>
        <v>4</v>
      </c>
      <c r="O37" s="166">
        <f t="shared" si="21"/>
        <v>0</v>
      </c>
      <c r="P37" s="166">
        <f t="shared" si="21"/>
        <v>-6</v>
      </c>
      <c r="Q37" s="166">
        <f t="shared" si="21"/>
        <v>0</v>
      </c>
      <c r="R37" s="81">
        <f t="shared" si="13"/>
        <v>52</v>
      </c>
      <c r="S37" s="18">
        <f t="shared" si="14"/>
        <v>4.333333333333333</v>
      </c>
      <c r="T37" s="2"/>
      <c r="U37" s="26">
        <f t="shared" si="11"/>
        <v>24</v>
      </c>
      <c r="V37" s="26">
        <f t="shared" si="15"/>
        <v>28</v>
      </c>
      <c r="W37" s="2"/>
      <c r="X37" s="11"/>
      <c r="Y37" s="11"/>
      <c r="Z37" s="2"/>
    </row>
    <row r="38" spans="1:26" x14ac:dyDescent="0.25">
      <c r="A38" s="17" t="str">
        <f>A16</f>
        <v>TEB-Total Electric Bldg Total</v>
      </c>
      <c r="B38" s="166">
        <f t="shared" ref="B38:M38" si="22">B27-B16</f>
        <v>-1</v>
      </c>
      <c r="C38" s="166">
        <f t="shared" si="22"/>
        <v>-4</v>
      </c>
      <c r="D38" s="166">
        <f t="shared" si="22"/>
        <v>-7</v>
      </c>
      <c r="E38" s="166">
        <f t="shared" si="22"/>
        <v>-8</v>
      </c>
      <c r="F38" s="166">
        <f t="shared" si="22"/>
        <v>-7</v>
      </c>
      <c r="G38" s="166">
        <f t="shared" si="22"/>
        <v>-7</v>
      </c>
      <c r="H38" s="166">
        <f t="shared" si="22"/>
        <v>-7</v>
      </c>
      <c r="I38" s="166">
        <f t="shared" si="22"/>
        <v>-6</v>
      </c>
      <c r="J38" s="166">
        <f t="shared" si="22"/>
        <v>-4</v>
      </c>
      <c r="K38" s="166">
        <f t="shared" si="22"/>
        <v>-7</v>
      </c>
      <c r="L38" s="166">
        <f t="shared" si="22"/>
        <v>-7</v>
      </c>
      <c r="M38" s="166">
        <f t="shared" si="22"/>
        <v>-6</v>
      </c>
      <c r="N38" s="166">
        <f t="shared" ref="N38:Q38" si="23">N27-N16</f>
        <v>-5</v>
      </c>
      <c r="O38" s="166">
        <f t="shared" si="23"/>
        <v>-4</v>
      </c>
      <c r="P38" s="166">
        <f t="shared" si="23"/>
        <v>-2</v>
      </c>
      <c r="Q38" s="166">
        <f t="shared" si="23"/>
        <v>0</v>
      </c>
      <c r="R38" s="81">
        <f t="shared" si="13"/>
        <v>-62</v>
      </c>
      <c r="S38" s="18">
        <f t="shared" si="14"/>
        <v>-5.166666666666667</v>
      </c>
      <c r="T38" s="2"/>
      <c r="U38" s="26">
        <f t="shared" si="11"/>
        <v>-24</v>
      </c>
      <c r="V38" s="26">
        <f t="shared" si="15"/>
        <v>-38</v>
      </c>
      <c r="W38" s="2"/>
      <c r="X38" s="11"/>
      <c r="Y38" s="11"/>
      <c r="Z38" s="2"/>
    </row>
    <row r="39" spans="1:26" x14ac:dyDescent="0.25">
      <c r="A39" s="15" t="s">
        <v>1</v>
      </c>
      <c r="B39" s="18">
        <f t="shared" ref="B39:Q39" si="24">SUM(B33:B38)</f>
        <v>2393</v>
      </c>
      <c r="C39" s="18">
        <f t="shared" si="24"/>
        <v>1783</v>
      </c>
      <c r="D39" s="18">
        <f t="shared" si="24"/>
        <v>1541</v>
      </c>
      <c r="E39" s="18">
        <f t="shared" si="24"/>
        <v>1420</v>
      </c>
      <c r="F39" s="18">
        <f t="shared" si="24"/>
        <v>1358</v>
      </c>
      <c r="G39" s="18">
        <f t="shared" si="24"/>
        <v>1326</v>
      </c>
      <c r="H39" s="18">
        <f t="shared" si="24"/>
        <v>1445</v>
      </c>
      <c r="I39" s="18">
        <f t="shared" si="24"/>
        <v>1460</v>
      </c>
      <c r="J39" s="18">
        <f t="shared" si="24"/>
        <v>1076</v>
      </c>
      <c r="K39" s="18">
        <f t="shared" si="24"/>
        <v>1159</v>
      </c>
      <c r="L39" s="18">
        <f t="shared" si="24"/>
        <v>858</v>
      </c>
      <c r="M39" s="18">
        <f t="shared" si="24"/>
        <v>820</v>
      </c>
      <c r="N39" s="18">
        <f t="shared" si="24"/>
        <v>661</v>
      </c>
      <c r="O39" s="18">
        <f t="shared" si="24"/>
        <v>240</v>
      </c>
      <c r="P39" s="18">
        <f t="shared" si="24"/>
        <v>93</v>
      </c>
      <c r="Q39" s="18">
        <f t="shared" si="24"/>
        <v>0</v>
      </c>
      <c r="R39" s="81">
        <f>SUM(F39:Q39)</f>
        <v>10496</v>
      </c>
      <c r="S39" s="18">
        <f t="shared" si="14"/>
        <v>874.66666666666663</v>
      </c>
      <c r="T39" s="2"/>
      <c r="W39" s="12"/>
      <c r="X39" s="2"/>
      <c r="Y39" s="2"/>
      <c r="Z39" s="2"/>
    </row>
    <row r="40" spans="1:26" x14ac:dyDescent="0.25">
      <c r="W40" s="2"/>
      <c r="X40" s="2"/>
      <c r="Y40" s="2"/>
      <c r="Z40" s="2"/>
    </row>
    <row r="41" spans="1:26" x14ac:dyDescent="0.25">
      <c r="T41" s="2"/>
      <c r="U41" s="2"/>
      <c r="V41" s="2"/>
      <c r="W41" s="2"/>
      <c r="X41" s="2"/>
      <c r="Y41" s="2"/>
      <c r="Z41" s="2"/>
    </row>
    <row r="42" spans="1:26" x14ac:dyDescent="0.25">
      <c r="A42" s="14" t="s">
        <v>62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20"/>
      <c r="S42" s="15"/>
    </row>
    <row r="43" spans="1:26" x14ac:dyDescent="0.25">
      <c r="A43" s="15" t="s">
        <v>0</v>
      </c>
      <c r="B43" s="6">
        <f t="shared" ref="B43:Q43" si="25">B21</f>
        <v>43374</v>
      </c>
      <c r="C43" s="6">
        <f t="shared" si="25"/>
        <v>43405</v>
      </c>
      <c r="D43" s="7">
        <f t="shared" si="25"/>
        <v>43435</v>
      </c>
      <c r="E43" s="7">
        <f t="shared" si="25"/>
        <v>43466</v>
      </c>
      <c r="F43" s="7">
        <f t="shared" si="25"/>
        <v>43497</v>
      </c>
      <c r="G43" s="7">
        <f t="shared" si="25"/>
        <v>43525</v>
      </c>
      <c r="H43" s="6">
        <f t="shared" si="25"/>
        <v>43556</v>
      </c>
      <c r="I43" s="6">
        <f t="shared" si="25"/>
        <v>43586</v>
      </c>
      <c r="J43" s="6">
        <f t="shared" si="25"/>
        <v>43617</v>
      </c>
      <c r="K43" s="6">
        <f t="shared" si="25"/>
        <v>43647</v>
      </c>
      <c r="L43" s="6">
        <f t="shared" si="25"/>
        <v>43678</v>
      </c>
      <c r="M43" s="6">
        <f t="shared" si="25"/>
        <v>43709</v>
      </c>
      <c r="N43" s="6">
        <f t="shared" si="25"/>
        <v>43739</v>
      </c>
      <c r="O43" s="6">
        <f t="shared" si="25"/>
        <v>43770</v>
      </c>
      <c r="P43" s="6">
        <f t="shared" si="25"/>
        <v>43800</v>
      </c>
      <c r="Q43" s="6">
        <f t="shared" si="25"/>
        <v>43831</v>
      </c>
      <c r="R43" s="21" t="s">
        <v>19</v>
      </c>
      <c r="S43" s="16" t="s">
        <v>61</v>
      </c>
    </row>
    <row r="44" spans="1:26" x14ac:dyDescent="0.25">
      <c r="A44" s="17" t="str">
        <f>A22</f>
        <v>RG-Residential Total</v>
      </c>
      <c r="B44" s="166">
        <f>'WN Summary'!C20</f>
        <v>904.77922978533229</v>
      </c>
      <c r="C44" s="166">
        <f>'WN Summary'!D20</f>
        <v>943.24810928559373</v>
      </c>
      <c r="D44" s="166">
        <f>'WN Summary'!E20</f>
        <v>1218.8255474843659</v>
      </c>
      <c r="E44" s="166">
        <f>'WN Summary'!F20</f>
        <v>1298.0518608581283</v>
      </c>
      <c r="F44" s="166">
        <f>'WN Summary'!G20</f>
        <v>1393.7063561815528</v>
      </c>
      <c r="G44" s="166">
        <f>'WN Summary'!H20</f>
        <v>1358.8860773033227</v>
      </c>
      <c r="H44" s="166">
        <f>'WN Summary'!I20</f>
        <v>866.79333736109947</v>
      </c>
      <c r="I44" s="166">
        <f>'WN Summary'!J20</f>
        <v>684.80298811181319</v>
      </c>
      <c r="J44" s="166">
        <f>'WN Summary'!K20</f>
        <v>818.97210147972157</v>
      </c>
      <c r="K44" s="166">
        <f>'WN Summary'!L20</f>
        <v>1117.4120217577313</v>
      </c>
      <c r="L44" s="166">
        <f>'WN Summary'!M20</f>
        <v>1199.6047509777165</v>
      </c>
      <c r="M44" s="166">
        <f>'WN Summary'!N20</f>
        <v>1185.0040166764479</v>
      </c>
      <c r="N44" s="166">
        <f>'WN Summary'!O20</f>
        <v>938.44709876825164</v>
      </c>
      <c r="O44" s="166">
        <f>'WN Summary'!P20</f>
        <v>926.8191109964489</v>
      </c>
      <c r="P44" s="166">
        <f>'WN Summary'!Q20</f>
        <v>1182.5986874014793</v>
      </c>
      <c r="Q44" s="166">
        <f>'WN Summary'!R20</f>
        <v>1272.9093228744709</v>
      </c>
      <c r="R44" s="164">
        <f>SUM(F44:Q44)</f>
        <v>12945.955869890055</v>
      </c>
      <c r="S44" s="18">
        <f>AVERAGE(F44:Q44)</f>
        <v>1078.8296558241711</v>
      </c>
    </row>
    <row r="45" spans="1:26" x14ac:dyDescent="0.25">
      <c r="A45" s="17" t="str">
        <f>A24</f>
        <v>CB-Commercial Total</v>
      </c>
      <c r="B45" s="166">
        <f>'WN Summary'!C32</f>
        <v>1495.0693250513004</v>
      </c>
      <c r="C45" s="166">
        <f>'WN Summary'!D32</f>
        <v>1344.9628748478478</v>
      </c>
      <c r="D45" s="166">
        <f>'WN Summary'!E32</f>
        <v>1401.9657750456886</v>
      </c>
      <c r="E45" s="166">
        <f>'WN Summary'!F32</f>
        <v>1497.9586054233537</v>
      </c>
      <c r="F45" s="166">
        <f>'WN Summary'!G32</f>
        <v>1495.2593945431402</v>
      </c>
      <c r="G45" s="166">
        <f>'WN Summary'!H32</f>
        <v>1526.9920318725099</v>
      </c>
      <c r="H45" s="166">
        <f>'WN Summary'!I32</f>
        <v>1264.9512572533849</v>
      </c>
      <c r="I45" s="166">
        <f>'WN Summary'!J32</f>
        <v>1171.9896063688634</v>
      </c>
      <c r="J45" s="166">
        <f>'WN Summary'!K32</f>
        <v>1251.1184210526317</v>
      </c>
      <c r="K45" s="166">
        <f>'WN Summary'!L32</f>
        <v>1713.1124060980999</v>
      </c>
      <c r="L45" s="166">
        <f>'WN Summary'!M32</f>
        <v>1735.379718930835</v>
      </c>
      <c r="M45" s="166">
        <f>'WN Summary'!N32</f>
        <v>1712.9286618594153</v>
      </c>
      <c r="N45" s="166">
        <f>'WN Summary'!O32</f>
        <v>1433.9349906500936</v>
      </c>
      <c r="O45" s="166">
        <f>'WN Summary'!P32</f>
        <v>1292.7394269372492</v>
      </c>
      <c r="P45" s="166">
        <f>'WN Summary'!Q32</f>
        <v>1440.9119037151022</v>
      </c>
      <c r="Q45" s="166">
        <f>'WN Summary'!R32</f>
        <v>1457.6168224299065</v>
      </c>
      <c r="R45" s="164">
        <f t="shared" ref="R45:R49" si="26">SUM(F45:Q45)</f>
        <v>17496.934641711232</v>
      </c>
      <c r="S45" s="18">
        <f t="shared" ref="S45:S49" si="27">AVERAGE(F45:Q45)</f>
        <v>1458.0778868092693</v>
      </c>
    </row>
    <row r="46" spans="1:26" x14ac:dyDescent="0.25">
      <c r="A46" s="17" t="str">
        <f>A25</f>
        <v>SH-Small Heating</v>
      </c>
      <c r="B46" s="166">
        <f>'WN Summary'!C56</f>
        <v>2025.0330250990753</v>
      </c>
      <c r="C46" s="166">
        <f>'WN Summary'!D56</f>
        <v>2127.3698449356648</v>
      </c>
      <c r="D46" s="166">
        <f>'WN Summary'!E56</f>
        <v>2654.5280158206988</v>
      </c>
      <c r="E46" s="166">
        <f>'WN Summary'!F56</f>
        <v>2849.1815780785737</v>
      </c>
      <c r="F46" s="166">
        <f>'WN Summary'!G56</f>
        <v>3069.7618103733071</v>
      </c>
      <c r="G46" s="166">
        <f>'WN Summary'!H56</f>
        <v>2836.4250330250989</v>
      </c>
      <c r="H46" s="166">
        <f>'WN Summary'!I56</f>
        <v>2031.0353602115003</v>
      </c>
      <c r="I46" s="166">
        <f>'WN Summary'!J56</f>
        <v>1693.2285620052771</v>
      </c>
      <c r="J46" s="166">
        <f>'WN Summary'!K56</f>
        <v>1861.816501650165</v>
      </c>
      <c r="K46" s="166">
        <f>'WN Summary'!L56</f>
        <v>2295.2771164021165</v>
      </c>
      <c r="L46" s="166">
        <f>'WN Summary'!M56</f>
        <v>2402.2896391923205</v>
      </c>
      <c r="M46" s="166">
        <f>'WN Summary'!N56</f>
        <v>2499.4533112582781</v>
      </c>
      <c r="N46" s="166">
        <f>'WN Summary'!O56</f>
        <v>1942.6287978863936</v>
      </c>
      <c r="O46" s="166">
        <f>'WN Summary'!P56</f>
        <v>2217.6396307286514</v>
      </c>
      <c r="P46" s="166">
        <f>'WN Summary'!Q56</f>
        <v>2474.5863666446062</v>
      </c>
      <c r="Q46" s="166">
        <f>'WN Summary'!R56</f>
        <v>2727.3376365441904</v>
      </c>
      <c r="R46" s="164">
        <f t="shared" si="26"/>
        <v>28051.479765921908</v>
      </c>
      <c r="S46" s="18">
        <f t="shared" si="27"/>
        <v>2337.6233138268258</v>
      </c>
    </row>
    <row r="47" spans="1:26" x14ac:dyDescent="0.25">
      <c r="A47" s="17" t="str">
        <f>A26</f>
        <v>GP-General Power Total</v>
      </c>
      <c r="B47" s="166">
        <f>'WN Summary'!C44</f>
        <v>42966.652051714445</v>
      </c>
      <c r="C47" s="166">
        <f>'WN Summary'!D44</f>
        <v>36919.917086834728</v>
      </c>
      <c r="D47" s="166">
        <f>'WN Summary'!E44</f>
        <v>36447.246352413022</v>
      </c>
      <c r="E47" s="166">
        <f>'WN Summary'!F44</f>
        <v>36242.661987647392</v>
      </c>
      <c r="F47" s="166">
        <f>'WN Summary'!G44</f>
        <v>36756.073949579833</v>
      </c>
      <c r="G47" s="166">
        <f>'WN Summary'!H44</f>
        <v>36528.371220604706</v>
      </c>
      <c r="H47" s="166">
        <f>'WN Summary'!I44</f>
        <v>35181.595744680853</v>
      </c>
      <c r="I47" s="166">
        <f>'WN Summary'!J44</f>
        <v>36597.039775910365</v>
      </c>
      <c r="J47" s="166">
        <f>'WN Summary'!K44</f>
        <v>38800.542344363435</v>
      </c>
      <c r="K47" s="166">
        <f>'WN Summary'!L44</f>
        <v>44106.488801791711</v>
      </c>
      <c r="L47" s="166">
        <f>'WN Summary'!M44</f>
        <v>45990.346003353829</v>
      </c>
      <c r="M47" s="166">
        <f>'WN Summary'!N44</f>
        <v>49006.605586592181</v>
      </c>
      <c r="N47" s="166">
        <f>'WN Summary'!O44</f>
        <v>36112.871995528229</v>
      </c>
      <c r="O47" s="166">
        <f>'WN Summary'!P44</f>
        <v>36240.128834355826</v>
      </c>
      <c r="P47" s="166">
        <f>'WN Summary'!Q44</f>
        <v>36227.844913841021</v>
      </c>
      <c r="Q47" s="166">
        <f>'WN Summary'!R44</f>
        <v>37471.302286670383</v>
      </c>
      <c r="R47" s="164">
        <f t="shared" si="26"/>
        <v>469019.21145727235</v>
      </c>
      <c r="S47" s="18">
        <f t="shared" si="27"/>
        <v>39084.934288106029</v>
      </c>
    </row>
    <row r="48" spans="1:26" x14ac:dyDescent="0.25">
      <c r="A48" s="17" t="str">
        <f>A27</f>
        <v>TEB-Total Electric Bldg Total</v>
      </c>
      <c r="B48" s="166">
        <f>'WN Summary'!C68</f>
        <v>31358.757446808511</v>
      </c>
      <c r="C48" s="166">
        <f>'WN Summary'!D68</f>
        <v>30130.165429480381</v>
      </c>
      <c r="D48" s="166">
        <f>'WN Summary'!E68</f>
        <v>33436.206131078223</v>
      </c>
      <c r="E48" s="166">
        <f>'WN Summary'!F68</f>
        <v>34115.081309398098</v>
      </c>
      <c r="F48" s="166">
        <f>'WN Summary'!G68</f>
        <v>33968.099365750531</v>
      </c>
      <c r="G48" s="166">
        <f>'WN Summary'!H68</f>
        <v>33190.892177589849</v>
      </c>
      <c r="H48" s="166">
        <f>'WN Summary'!I68</f>
        <v>28372.233615221987</v>
      </c>
      <c r="I48" s="166">
        <f>'WN Summary'!J68</f>
        <v>25767.379894179896</v>
      </c>
      <c r="J48" s="166">
        <f>'WN Summary'!K68</f>
        <v>27499.188759278899</v>
      </c>
      <c r="K48" s="166">
        <f>'WN Summary'!L68</f>
        <v>32102.51268498943</v>
      </c>
      <c r="L48" s="166">
        <f>'WN Summary'!M68</f>
        <v>33923.269556025371</v>
      </c>
      <c r="M48" s="166">
        <f>'WN Summary'!N68</f>
        <v>33853.705820105817</v>
      </c>
      <c r="N48" s="166">
        <f>'WN Summary'!O68</f>
        <v>29142.051906779659</v>
      </c>
      <c r="O48" s="166">
        <f>'WN Summary'!P68</f>
        <v>28275.142099681867</v>
      </c>
      <c r="P48" s="166">
        <f>'WN Summary'!Q68</f>
        <v>33203.255047821469</v>
      </c>
      <c r="Q48" s="166">
        <f>'WN Summary'!R68</f>
        <v>32899.47603833866</v>
      </c>
      <c r="R48" s="164">
        <f t="shared" si="26"/>
        <v>372197.20696576341</v>
      </c>
      <c r="S48" s="18">
        <f t="shared" si="27"/>
        <v>31016.433913813617</v>
      </c>
    </row>
    <row r="49" spans="1:22" x14ac:dyDescent="0.25">
      <c r="A49" s="15" t="s">
        <v>1</v>
      </c>
      <c r="B49" s="18">
        <f t="shared" ref="B49:Q49" si="28">SUM(B44:B48)</f>
        <v>78750.291078458671</v>
      </c>
      <c r="C49" s="18">
        <f t="shared" si="28"/>
        <v>71465.663345384208</v>
      </c>
      <c r="D49" s="18">
        <f t="shared" si="28"/>
        <v>75158.771821842005</v>
      </c>
      <c r="E49" s="18">
        <f t="shared" si="28"/>
        <v>76002.935341405537</v>
      </c>
      <c r="F49" s="18">
        <f t="shared" si="28"/>
        <v>76682.900876428364</v>
      </c>
      <c r="G49" s="18">
        <f t="shared" si="28"/>
        <v>75441.566540395492</v>
      </c>
      <c r="H49" s="18">
        <f t="shared" si="28"/>
        <v>67716.609314728819</v>
      </c>
      <c r="I49" s="18">
        <f t="shared" si="28"/>
        <v>65914.440826576218</v>
      </c>
      <c r="J49" s="18">
        <f t="shared" si="28"/>
        <v>70231.638127824845</v>
      </c>
      <c r="K49" s="18">
        <f t="shared" si="28"/>
        <v>81334.80303103909</v>
      </c>
      <c r="L49" s="18">
        <f t="shared" si="28"/>
        <v>85250.889668480071</v>
      </c>
      <c r="M49" s="18">
        <f t="shared" si="28"/>
        <v>88257.697396492149</v>
      </c>
      <c r="N49" s="18">
        <f t="shared" si="28"/>
        <v>69569.934789612627</v>
      </c>
      <c r="O49" s="18">
        <f t="shared" si="28"/>
        <v>68952.469102700037</v>
      </c>
      <c r="P49" s="18">
        <f t="shared" si="28"/>
        <v>74529.196919423674</v>
      </c>
      <c r="Q49" s="18">
        <f t="shared" si="28"/>
        <v>75828.642106857616</v>
      </c>
      <c r="R49" s="164">
        <f t="shared" si="26"/>
        <v>899710.78870055894</v>
      </c>
      <c r="S49" s="18">
        <f t="shared" si="27"/>
        <v>74975.899058379917</v>
      </c>
    </row>
    <row r="50" spans="1:22" x14ac:dyDescent="0.25">
      <c r="A50" s="1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64"/>
      <c r="S50" s="18"/>
    </row>
    <row r="52" spans="1:22" x14ac:dyDescent="0.25">
      <c r="U52" t="s">
        <v>66</v>
      </c>
      <c r="V52" t="s">
        <v>67</v>
      </c>
    </row>
    <row r="53" spans="1:22" x14ac:dyDescent="0.25">
      <c r="A53" s="14" t="s">
        <v>87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20"/>
      <c r="S53" s="15"/>
    </row>
    <row r="54" spans="1:22" x14ac:dyDescent="0.25">
      <c r="A54" s="15" t="s">
        <v>0</v>
      </c>
      <c r="B54" s="6">
        <f>B10</f>
        <v>43374</v>
      </c>
      <c r="C54" s="6">
        <f t="shared" ref="C54:Q54" si="29">C10</f>
        <v>43405</v>
      </c>
      <c r="D54" s="6">
        <f t="shared" si="29"/>
        <v>43435</v>
      </c>
      <c r="E54" s="6">
        <f t="shared" si="29"/>
        <v>43466</v>
      </c>
      <c r="F54" s="6">
        <f t="shared" si="29"/>
        <v>43497</v>
      </c>
      <c r="G54" s="6">
        <f t="shared" si="29"/>
        <v>43525</v>
      </c>
      <c r="H54" s="6">
        <f t="shared" si="29"/>
        <v>43556</v>
      </c>
      <c r="I54" s="6">
        <f t="shared" si="29"/>
        <v>43586</v>
      </c>
      <c r="J54" s="6">
        <f t="shared" si="29"/>
        <v>43617</v>
      </c>
      <c r="K54" s="6">
        <f t="shared" si="29"/>
        <v>43647</v>
      </c>
      <c r="L54" s="6">
        <f t="shared" si="29"/>
        <v>43678</v>
      </c>
      <c r="M54" s="6">
        <f t="shared" si="29"/>
        <v>43709</v>
      </c>
      <c r="N54" s="6">
        <f t="shared" si="29"/>
        <v>43739</v>
      </c>
      <c r="O54" s="6">
        <f t="shared" si="29"/>
        <v>43770</v>
      </c>
      <c r="P54" s="6">
        <f t="shared" si="29"/>
        <v>43800</v>
      </c>
      <c r="Q54" s="6">
        <f t="shared" si="29"/>
        <v>43831</v>
      </c>
      <c r="R54" s="21" t="s">
        <v>19</v>
      </c>
      <c r="S54" s="16" t="s">
        <v>61</v>
      </c>
    </row>
    <row r="55" spans="1:22" x14ac:dyDescent="0.25">
      <c r="A55" s="17" t="s">
        <v>2</v>
      </c>
      <c r="B55" s="166">
        <f>RG!D39*B33</f>
        <v>1071533.3434634113</v>
      </c>
      <c r="C55" s="166">
        <f>RG!E39*C33</f>
        <v>755785.50543734606</v>
      </c>
      <c r="D55" s="166">
        <f>RG!F39*D33</f>
        <v>702563.56604721432</v>
      </c>
      <c r="E55" s="166">
        <f>RG!G39*E33</f>
        <v>696947.7398584038</v>
      </c>
      <c r="F55" s="166">
        <f>RG!H39*F33</f>
        <v>650483.01756725193</v>
      </c>
      <c r="G55" s="166">
        <f>RG!I39*G33</f>
        <v>592935.48811326956</v>
      </c>
      <c r="H55" s="166">
        <f>RG!J39*H33</f>
        <v>636413.34531664266</v>
      </c>
      <c r="I55" s="166">
        <f>RG!K39*I33</f>
        <v>642270.172706921</v>
      </c>
      <c r="J55" s="166">
        <f>RG!L39*J33</f>
        <v>573905.65357974649</v>
      </c>
      <c r="K55" s="166">
        <f>RG!M39*K33</f>
        <v>636284.62223752227</v>
      </c>
      <c r="L55" s="166">
        <f>RG!N39*L33</f>
        <v>489510.39351674967</v>
      </c>
      <c r="M55" s="166">
        <f>RG!O39*M33</f>
        <v>442384.89744060446</v>
      </c>
      <c r="N55" s="166">
        <f>RG!P39*N33</f>
        <v>328625.46494882356</v>
      </c>
      <c r="O55" s="166">
        <f>RG!Q39*O33</f>
        <v>125946.35650766597</v>
      </c>
      <c r="P55" s="166">
        <f>RG!R39*P33</f>
        <v>60601.924007840542</v>
      </c>
      <c r="Q55" s="166">
        <f>RG!S39*Q33</f>
        <v>0</v>
      </c>
      <c r="R55" s="164">
        <f>SUM(F55:Q55)</f>
        <v>5179361.3359430386</v>
      </c>
      <c r="S55" s="18">
        <f>AVERAGE(F55:Q55)</f>
        <v>431613.4446619199</v>
      </c>
      <c r="U55" s="26">
        <f>SUM(J55:M55)</f>
        <v>2142085.566774623</v>
      </c>
      <c r="V55" s="26">
        <f t="shared" ref="V55:V59" si="30">SUM(F55:I55,N55:Q55)</f>
        <v>3037275.7691684151</v>
      </c>
    </row>
    <row r="56" spans="1:22" x14ac:dyDescent="0.25">
      <c r="A56" s="17" t="s">
        <v>3</v>
      </c>
      <c r="B56" s="166">
        <f>CB!D38*B35</f>
        <v>59666.086554497131</v>
      </c>
      <c r="C56" s="166">
        <f>CB!E38*C35</f>
        <v>45553.807685429565</v>
      </c>
      <c r="D56" s="166">
        <f>CB!F38*D35</f>
        <v>56884.879948948466</v>
      </c>
      <c r="E56" s="166">
        <f>CB!G38*E35</f>
        <v>55277.057265052405</v>
      </c>
      <c r="F56" s="166">
        <f>CB!H38*F35</f>
        <v>55434.161480853472</v>
      </c>
      <c r="G56" s="166">
        <f>CB!I38*G35</f>
        <v>51339.567403114939</v>
      </c>
      <c r="H56" s="166">
        <f>CB!J38*H35</f>
        <v>39936.496235037645</v>
      </c>
      <c r="I56" s="166">
        <f>CB!K38*I35</f>
        <v>41316.171121869462</v>
      </c>
      <c r="J56" s="166">
        <f>CB!L38*J35</f>
        <v>10709.935486023171</v>
      </c>
      <c r="K56" s="166">
        <f>CB!M38*K35</f>
        <v>39704.820408318781</v>
      </c>
      <c r="L56" s="166">
        <f>CB!N38*L35</f>
        <v>20621.998873990673</v>
      </c>
      <c r="M56" s="166">
        <f>CB!O38*M35</f>
        <v>8976.3891850720629</v>
      </c>
      <c r="N56" s="166">
        <f>CB!P38*N35</f>
        <v>3246.500565536146</v>
      </c>
      <c r="O56" s="166">
        <f>CB!Q38*O35</f>
        <v>2933.8101965768142</v>
      </c>
      <c r="P56" s="166">
        <f>CB!R38*P35</f>
        <v>-2418.2989592414897</v>
      </c>
      <c r="Q56" s="166">
        <f>CB!S38*Q35</f>
        <v>0</v>
      </c>
      <c r="R56" s="164">
        <f t="shared" ref="R56:R60" si="31">SUM(F56:Q56)</f>
        <v>271801.55199715169</v>
      </c>
      <c r="S56" s="18">
        <f t="shared" ref="S56:S60" si="32">AVERAGE(F56:Q56)</f>
        <v>22650.129333095974</v>
      </c>
      <c r="U56" s="26">
        <f>SUM(J56:M56)</f>
        <v>80013.143953404695</v>
      </c>
      <c r="V56" s="26">
        <f t="shared" si="30"/>
        <v>191788.40804374701</v>
      </c>
    </row>
    <row r="57" spans="1:22" x14ac:dyDescent="0.25">
      <c r="A57" s="17" t="s">
        <v>5</v>
      </c>
      <c r="B57" s="166">
        <f>SH!C38*B36</f>
        <v>-3387.0736517518185</v>
      </c>
      <c r="C57" s="166">
        <f>SH!D38*C36</f>
        <v>-4686.5854675870733</v>
      </c>
      <c r="D57" s="166">
        <f>SH!E38*D36</f>
        <v>-7096.7055229295893</v>
      </c>
      <c r="E57" s="166">
        <f>SH!F38*E36</f>
        <v>-4915.5123773052383</v>
      </c>
      <c r="F57" s="166">
        <f>SH!G38*F36</f>
        <v>-3618.8597211255596</v>
      </c>
      <c r="G57" s="166">
        <f>SH!H38*G36</f>
        <v>-3874.0301141504265</v>
      </c>
      <c r="H57" s="166">
        <f>SH!I38*H36</f>
        <v>-2694.8600774877718</v>
      </c>
      <c r="I57" s="166">
        <f>SH!J38*I36</f>
        <v>-5699.6969100800325</v>
      </c>
      <c r="J57" s="166">
        <f>SH!K38*J36</f>
        <v>-4608.5079007473478</v>
      </c>
      <c r="K57" s="166">
        <f>SH!L38*K36</f>
        <v>-1679.6711378962325</v>
      </c>
      <c r="L57" s="166">
        <f>SH!M38*L36</f>
        <v>0</v>
      </c>
      <c r="M57" s="166">
        <f>SH!N38*M36</f>
        <v>500.87083444129001</v>
      </c>
      <c r="N57" s="166">
        <f>SH!O38*N36</f>
        <v>-3567.9433349687092</v>
      </c>
      <c r="O57" s="166">
        <f>SH!P38*O36</f>
        <v>-5214.2538760890484</v>
      </c>
      <c r="P57" s="166">
        <f>SH!Q38*P36</f>
        <v>-580.24868403542939</v>
      </c>
      <c r="Q57" s="166">
        <f>SH!R38*Q36</f>
        <v>0</v>
      </c>
      <c r="R57" s="164">
        <f t="shared" si="31"/>
        <v>-31037.200922139265</v>
      </c>
      <c r="S57" s="18">
        <f t="shared" si="32"/>
        <v>-2586.433410178272</v>
      </c>
      <c r="U57" s="26">
        <f>SUM(J57:M57)</f>
        <v>-5787.3082042022907</v>
      </c>
      <c r="V57" s="26">
        <f t="shared" si="30"/>
        <v>-25249.892717936978</v>
      </c>
    </row>
    <row r="58" spans="1:22" x14ac:dyDescent="0.25">
      <c r="A58" s="17" t="s">
        <v>4</v>
      </c>
      <c r="B58" s="166">
        <f>GP!C48*B37</f>
        <v>221005.12921607075</v>
      </c>
      <c r="C58" s="166">
        <f>GP!D48*C37</f>
        <v>133979.86235899405</v>
      </c>
      <c r="D58" s="166">
        <f>GP!E48*D37</f>
        <v>172442.9905679533</v>
      </c>
      <c r="E58" s="166">
        <f>GP!F48*E37</f>
        <v>192282.29836439271</v>
      </c>
      <c r="F58" s="166">
        <f>GP!G48*F37</f>
        <v>125085.93042023334</v>
      </c>
      <c r="G58" s="166">
        <f>GP!H48*G37</f>
        <v>110476.92641125349</v>
      </c>
      <c r="H58" s="166">
        <f>GP!I48*H37</f>
        <v>113204.92506871719</v>
      </c>
      <c r="I58" s="166">
        <f>GP!J48*I37</f>
        <v>130629.65406826723</v>
      </c>
      <c r="J58" s="166">
        <f>GP!K48*J37</f>
        <v>171725.08153342648</v>
      </c>
      <c r="K58" s="166">
        <f>GP!L48*K37</f>
        <v>128160.6750988139</v>
      </c>
      <c r="L58" s="166">
        <f>GP!M48*L37</f>
        <v>76073.982126445277</v>
      </c>
      <c r="M58" s="166">
        <f>GP!N48*M37</f>
        <v>54615.67523444508</v>
      </c>
      <c r="N58" s="166">
        <f>GP!O48*N37</f>
        <v>80914.795107839571</v>
      </c>
      <c r="O58" s="166">
        <f>GP!P48*O37</f>
        <v>0</v>
      </c>
      <c r="P58" s="166">
        <f>GP!Q48*P37</f>
        <v>-91884.871803158632</v>
      </c>
      <c r="Q58" s="166">
        <f>GP!R48*Q37</f>
        <v>0</v>
      </c>
      <c r="R58" s="164">
        <f t="shared" si="31"/>
        <v>899002.77326628286</v>
      </c>
      <c r="S58" s="18">
        <f t="shared" si="32"/>
        <v>74916.897772190234</v>
      </c>
      <c r="U58" s="26">
        <f>SUM(J58:M58)</f>
        <v>430575.41399313073</v>
      </c>
      <c r="V58" s="26">
        <f t="shared" si="30"/>
        <v>468427.35927315219</v>
      </c>
    </row>
    <row r="59" spans="1:22" x14ac:dyDescent="0.25">
      <c r="A59" s="17" t="s">
        <v>6</v>
      </c>
      <c r="B59" s="166">
        <f>TEB!C48*B38</f>
        <v>-14151.411931989298</v>
      </c>
      <c r="C59" s="166">
        <f>TEB!D48*C38</f>
        <v>-59932.247551408938</v>
      </c>
      <c r="D59" s="166">
        <f>TEB!E48*D38</f>
        <v>-117871.33471997383</v>
      </c>
      <c r="E59" s="166">
        <f>TEB!F48*E38</f>
        <v>-143424.47033657652</v>
      </c>
      <c r="F59" s="166">
        <f>TEB!G48*F38</f>
        <v>-126371.86196110822</v>
      </c>
      <c r="G59" s="166">
        <f>TEB!H48*G38</f>
        <v>-121978.50591985925</v>
      </c>
      <c r="H59" s="166">
        <f>TEB!I48*H38</f>
        <v>-111626.82703775729</v>
      </c>
      <c r="I59" s="166">
        <f>TEB!J48*I38</f>
        <v>-80443.283456278179</v>
      </c>
      <c r="J59" s="166">
        <f>TEB!K48*J38</f>
        <v>-53659.014231002446</v>
      </c>
      <c r="K59" s="166">
        <f>TEB!L48*K38</f>
        <v>-100722.92000273842</v>
      </c>
      <c r="L59" s="166">
        <f>TEB!M48*L38</f>
        <v>-107382.25870869021</v>
      </c>
      <c r="M59" s="166">
        <f>TEB!N48*M38</f>
        <v>-85132.45570652216</v>
      </c>
      <c r="N59" s="166">
        <f>TEB!O48*N38</f>
        <v>-74821.517327633905</v>
      </c>
      <c r="O59" s="166">
        <f>TEB!P48*O38</f>
        <v>-64752.03005231444</v>
      </c>
      <c r="P59" s="166">
        <f>TEB!Q48*P38</f>
        <v>-34049.509909476001</v>
      </c>
      <c r="Q59" s="166">
        <f>TEB!R48*Q38</f>
        <v>0</v>
      </c>
      <c r="R59" s="164">
        <f t="shared" si="31"/>
        <v>-960940.18431338063</v>
      </c>
      <c r="S59" s="18">
        <f t="shared" si="32"/>
        <v>-80078.348692781714</v>
      </c>
      <c r="U59" s="26">
        <f>SUM(J59:M59)</f>
        <v>-346896.64864895324</v>
      </c>
      <c r="V59" s="26">
        <f t="shared" si="30"/>
        <v>-614043.53566442733</v>
      </c>
    </row>
    <row r="60" spans="1:22" x14ac:dyDescent="0.25">
      <c r="A60" s="15" t="s">
        <v>1</v>
      </c>
      <c r="B60" s="18">
        <f t="shared" ref="B60:M60" si="33">SUM(B55:B59)</f>
        <v>1334666.0736502383</v>
      </c>
      <c r="C60" s="18">
        <f t="shared" si="33"/>
        <v>870700.34246277367</v>
      </c>
      <c r="D60" s="18">
        <f t="shared" si="33"/>
        <v>806923.39632121276</v>
      </c>
      <c r="E60" s="18">
        <f t="shared" si="33"/>
        <v>796167.11277396721</v>
      </c>
      <c r="F60" s="18">
        <f t="shared" si="33"/>
        <v>701012.38778610504</v>
      </c>
      <c r="G60" s="18">
        <f t="shared" si="33"/>
        <v>628899.44589362841</v>
      </c>
      <c r="H60" s="18">
        <f t="shared" si="33"/>
        <v>675233.07950515253</v>
      </c>
      <c r="I60" s="18">
        <f t="shared" si="33"/>
        <v>728073.01753069949</v>
      </c>
      <c r="J60" s="18">
        <f t="shared" si="33"/>
        <v>698073.14846744644</v>
      </c>
      <c r="K60" s="18">
        <f t="shared" si="33"/>
        <v>701747.52660402027</v>
      </c>
      <c r="L60" s="18">
        <f t="shared" si="33"/>
        <v>478824.11580849544</v>
      </c>
      <c r="M60" s="18">
        <f t="shared" si="33"/>
        <v>421345.37698804069</v>
      </c>
      <c r="N60" s="18">
        <f t="shared" ref="N60:Q60" si="34">SUM(N55:N59)</f>
        <v>334397.29995959665</v>
      </c>
      <c r="O60" s="18">
        <f t="shared" si="34"/>
        <v>58913.882775839302</v>
      </c>
      <c r="P60" s="18">
        <f t="shared" si="34"/>
        <v>-68331.005348071019</v>
      </c>
      <c r="Q60" s="18">
        <f t="shared" si="34"/>
        <v>0</v>
      </c>
      <c r="R60" s="164">
        <f t="shared" si="31"/>
        <v>5358188.2759709517</v>
      </c>
      <c r="S60" s="18">
        <f t="shared" si="32"/>
        <v>446515.68966424599</v>
      </c>
    </row>
    <row r="61" spans="1:22" x14ac:dyDescent="0.25">
      <c r="A61" s="15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2"/>
      <c r="S61" s="18"/>
    </row>
    <row r="64" spans="1:22" x14ac:dyDescent="0.25">
      <c r="A64" s="14" t="s">
        <v>88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20"/>
      <c r="S64" s="15"/>
    </row>
    <row r="65" spans="1:22" x14ac:dyDescent="0.25">
      <c r="A65" s="15" t="s">
        <v>0</v>
      </c>
      <c r="B65" s="3">
        <f>B10</f>
        <v>43374</v>
      </c>
      <c r="C65" s="3">
        <f t="shared" ref="C65:Q65" si="35">C10</f>
        <v>43405</v>
      </c>
      <c r="D65" s="3">
        <f t="shared" si="35"/>
        <v>43435</v>
      </c>
      <c r="E65" s="3">
        <f t="shared" si="35"/>
        <v>43466</v>
      </c>
      <c r="F65" s="3">
        <f t="shared" si="35"/>
        <v>43497</v>
      </c>
      <c r="G65" s="3">
        <f t="shared" si="35"/>
        <v>43525</v>
      </c>
      <c r="H65" s="3">
        <f t="shared" si="35"/>
        <v>43556</v>
      </c>
      <c r="I65" s="3">
        <f t="shared" si="35"/>
        <v>43586</v>
      </c>
      <c r="J65" s="3">
        <f t="shared" si="35"/>
        <v>43617</v>
      </c>
      <c r="K65" s="3">
        <f t="shared" si="35"/>
        <v>43647</v>
      </c>
      <c r="L65" s="3">
        <f t="shared" si="35"/>
        <v>43678</v>
      </c>
      <c r="M65" s="3">
        <f t="shared" si="35"/>
        <v>43709</v>
      </c>
      <c r="N65" s="3">
        <f t="shared" si="35"/>
        <v>43739</v>
      </c>
      <c r="O65" s="3">
        <f t="shared" si="35"/>
        <v>43770</v>
      </c>
      <c r="P65" s="3">
        <f t="shared" si="35"/>
        <v>43800</v>
      </c>
      <c r="Q65" s="3">
        <f t="shared" si="35"/>
        <v>43831</v>
      </c>
      <c r="R65" s="21" t="s">
        <v>19</v>
      </c>
      <c r="S65" s="16" t="s">
        <v>61</v>
      </c>
    </row>
    <row r="66" spans="1:22" x14ac:dyDescent="0.25">
      <c r="A66" s="17" t="s">
        <v>2</v>
      </c>
      <c r="B66" s="13">
        <f>RG!D40*B33</f>
        <v>750513.47598537209</v>
      </c>
      <c r="C66" s="13">
        <f>RG!E40*C33</f>
        <v>621014.61585695948</v>
      </c>
      <c r="D66" s="13">
        <f>RG!F40*D33</f>
        <v>950406.83278343931</v>
      </c>
      <c r="E66" s="13">
        <f>RG!G40*E33</f>
        <v>1070813.6296220128</v>
      </c>
      <c r="F66" s="13">
        <f>RG!H40*F33</f>
        <v>1106611.1718523486</v>
      </c>
      <c r="G66" s="13">
        <f>RG!I40*G33</f>
        <v>945219.90110665455</v>
      </c>
      <c r="H66" s="13">
        <f>RG!J40*H33</f>
        <v>485708.89915557252</v>
      </c>
      <c r="I66" s="13">
        <f>RG!K40*I33</f>
        <v>311305.13000256463</v>
      </c>
      <c r="J66" s="13">
        <f>RG!L40*J33</f>
        <v>392096.41538766841</v>
      </c>
      <c r="K66" s="13">
        <f>RG!M40*K33</f>
        <v>748968.14163557021</v>
      </c>
      <c r="L66" s="13">
        <f>RG!N40*L33</f>
        <v>632720.09019996505</v>
      </c>
      <c r="M66" s="13">
        <f>RG!O40*M33</f>
        <v>497007.05642565485</v>
      </c>
      <c r="N66" s="13">
        <f>RG!P40*N33</f>
        <v>240018.56643741822</v>
      </c>
      <c r="O66" s="13">
        <f>RG!Q40*O33</f>
        <v>105005.98873593449</v>
      </c>
      <c r="P66" s="13">
        <f>RG!R40*P33</f>
        <v>79264.802047060963</v>
      </c>
      <c r="Q66" s="13">
        <f>RG!S40*Q33</f>
        <v>0</v>
      </c>
      <c r="R66" s="22">
        <f>SUM(F66:Q66)</f>
        <v>5543926.1629864136</v>
      </c>
      <c r="S66" s="18">
        <f>AVERAGE(F66:Q66)</f>
        <v>461993.84691553446</v>
      </c>
      <c r="U66" s="26">
        <f>SUM(J66:M66)</f>
        <v>2270791.7036488587</v>
      </c>
      <c r="V66" s="26">
        <f t="shared" ref="V66:V70" si="36">SUM(F66:I66,N66:Q66)</f>
        <v>3273134.4593375539</v>
      </c>
    </row>
    <row r="67" spans="1:22" x14ac:dyDescent="0.25">
      <c r="A67" s="17" t="s">
        <v>3</v>
      </c>
      <c r="B67" s="13">
        <f>CB!D39*B35</f>
        <v>162985.65578315363</v>
      </c>
      <c r="C67" s="13">
        <f>CB!E39*C35</f>
        <v>103668.67997254888</v>
      </c>
      <c r="D67" s="13">
        <f>CB!F39*D35</f>
        <v>126196.54782357404</v>
      </c>
      <c r="E67" s="13">
        <f>CB!G39*E35</f>
        <v>127818.40175515195</v>
      </c>
      <c r="F67" s="13">
        <f>CB!H39*F35</f>
        <v>127626.63516177222</v>
      </c>
      <c r="G67" s="13">
        <f>CB!I39*G35</f>
        <v>125653.15505838962</v>
      </c>
      <c r="H67" s="13">
        <f>CB!J39*H35</f>
        <v>79779.291698270084</v>
      </c>
      <c r="I67" s="13">
        <f>CB!K39*I35</f>
        <v>78588.034487126046</v>
      </c>
      <c r="J67" s="13">
        <f>CB!L39*J35</f>
        <v>21922.359022215187</v>
      </c>
      <c r="K67" s="13">
        <f>CB!M39*K35</f>
        <v>112089.95980399914</v>
      </c>
      <c r="L67" s="13">
        <f>CB!N39*L35</f>
        <v>59217.293136429878</v>
      </c>
      <c r="M67" s="13">
        <f>CB!O39*M35</f>
        <v>28301.018030292194</v>
      </c>
      <c r="N67" s="13">
        <f>CB!P39*N35</f>
        <v>7956.1028225217542</v>
      </c>
      <c r="O67" s="13">
        <f>CB!Q39*O35</f>
        <v>6070.9950931287822</v>
      </c>
      <c r="P67" s="13">
        <f>CB!R39*P35</f>
        <v>-5841.0135718497513</v>
      </c>
      <c r="Q67" s="13">
        <f>CB!S39*Q35</f>
        <v>0</v>
      </c>
      <c r="R67" s="22">
        <f t="shared" ref="R67:R71" si="37">SUM(F67:Q67)</f>
        <v>641363.83074229502</v>
      </c>
      <c r="S67" s="18">
        <f t="shared" ref="S67:S71" si="38">AVERAGE(F67:Q67)</f>
        <v>53446.985895191254</v>
      </c>
      <c r="U67" s="26">
        <f>SUM(J67:M67)</f>
        <v>221530.62999293639</v>
      </c>
      <c r="V67" s="26">
        <f t="shared" si="36"/>
        <v>419833.20074935874</v>
      </c>
    </row>
    <row r="68" spans="1:22" x14ac:dyDescent="0.25">
      <c r="A68" s="17" t="s">
        <v>5</v>
      </c>
      <c r="B68" s="13">
        <f>SH!C39*B36</f>
        <v>-9811.2158189496786</v>
      </c>
      <c r="C68" s="13">
        <f>SH!D39*C36</f>
        <v>-14328.513678747151</v>
      </c>
      <c r="D68" s="13">
        <f>SH!E39*D36</f>
        <v>-25979.603340123413</v>
      </c>
      <c r="E68" s="13">
        <f>SH!F39*E36</f>
        <v>-18829.15382809057</v>
      </c>
      <c r="F68" s="13">
        <f>SH!G39*F36</f>
        <v>-15247.828323362119</v>
      </c>
      <c r="G68" s="13">
        <f>SH!H39*G36</f>
        <v>-15224.222801205136</v>
      </c>
      <c r="H68" s="13">
        <f>SH!I39*H36</f>
        <v>-7351.6972123263786</v>
      </c>
      <c r="I68" s="13">
        <f>SH!J39*I36</f>
        <v>-13197.258106118567</v>
      </c>
      <c r="J68" s="13">
        <f>SH!K39*J36</f>
        <v>-12186.528344900926</v>
      </c>
      <c r="K68" s="13">
        <f>SH!L39*K36</f>
        <v>-5395.0117102485801</v>
      </c>
      <c r="L68" s="13">
        <f>SH!M39*L36</f>
        <v>0</v>
      </c>
      <c r="M68" s="13">
        <f>SH!N39*M36</f>
        <v>1860.6803233096005</v>
      </c>
      <c r="N68" s="13">
        <f>SH!O39*N36</f>
        <v>-9630.3461357327906</v>
      </c>
      <c r="O68" s="13">
        <f>SH!P39*O36</f>
        <v>-17603.865099512019</v>
      </c>
      <c r="P68" s="13">
        <f>SH!Q39*P36</f>
        <v>-1964.0827669686475</v>
      </c>
      <c r="Q68" s="13">
        <f>SH!R39*Q36</f>
        <v>0</v>
      </c>
      <c r="R68" s="22">
        <f t="shared" si="37"/>
        <v>-95940.160177065554</v>
      </c>
      <c r="S68" s="18">
        <f t="shared" si="38"/>
        <v>-7995.0133480887962</v>
      </c>
      <c r="U68" s="26">
        <f>SUM(J68:M68)</f>
        <v>-15720.859731839904</v>
      </c>
      <c r="V68" s="26">
        <f t="shared" si="36"/>
        <v>-80219.300445225643</v>
      </c>
    </row>
    <row r="69" spans="1:22" x14ac:dyDescent="0.25">
      <c r="A69" s="17" t="s">
        <v>4</v>
      </c>
      <c r="B69" s="13">
        <f>GP!C49*B37</f>
        <v>209370.8987119653</v>
      </c>
      <c r="C69" s="13">
        <f>GP!D49*C37</f>
        <v>121277.7027426406</v>
      </c>
      <c r="D69" s="13">
        <f>GP!E49*D37</f>
        <v>162917.78152293008</v>
      </c>
      <c r="E69" s="13">
        <f>GP!F49*E37</f>
        <v>183387.11926030787</v>
      </c>
      <c r="F69" s="13">
        <f>GP!G49*F37</f>
        <v>123446.79366868001</v>
      </c>
      <c r="G69" s="13">
        <f>GP!H49*G37</f>
        <v>107520.76619643657</v>
      </c>
      <c r="H69" s="13">
        <f>GP!I49*H37</f>
        <v>100904.11060190485</v>
      </c>
      <c r="I69" s="13">
        <f>GP!J49*I37</f>
        <v>120268.27078221412</v>
      </c>
      <c r="J69" s="13">
        <f>GP!K49*J37</f>
        <v>160039.87507941222</v>
      </c>
      <c r="K69" s="13">
        <f>GP!L49*K37</f>
        <v>129894.420607187</v>
      </c>
      <c r="L69" s="13">
        <f>GP!M49*L37</f>
        <v>74794.931727393152</v>
      </c>
      <c r="M69" s="13">
        <f>GP!N49*M37</f>
        <v>54701.624394492428</v>
      </c>
      <c r="N69" s="13">
        <f>GP!O49*N37</f>
        <v>74609.805259023095</v>
      </c>
      <c r="O69" s="13">
        <f>GP!P49*O37</f>
        <v>0</v>
      </c>
      <c r="P69" s="13">
        <f>GP!Q49*P37</f>
        <v>-89012.774000894584</v>
      </c>
      <c r="Q69" s="13">
        <f>GP!R49*Q37</f>
        <v>0</v>
      </c>
      <c r="R69" s="22">
        <f t="shared" si="37"/>
        <v>857167.82431584888</v>
      </c>
      <c r="S69" s="18">
        <f t="shared" si="38"/>
        <v>71430.652026320735</v>
      </c>
      <c r="U69" s="26">
        <f>SUM(J69:M69)</f>
        <v>419430.85180848482</v>
      </c>
      <c r="V69" s="26">
        <f t="shared" si="36"/>
        <v>437736.97250736406</v>
      </c>
    </row>
    <row r="70" spans="1:22" x14ac:dyDescent="0.25">
      <c r="A70" s="17" t="s">
        <v>6</v>
      </c>
      <c r="B70" s="13">
        <f>TEB!C49*B38</f>
        <v>-12181.269384414196</v>
      </c>
      <c r="C70" s="13">
        <f>TEB!D49*C38</f>
        <v>-43668.930653512529</v>
      </c>
      <c r="D70" s="13">
        <f>TEB!E49*D38</f>
        <v>-91663.861519729981</v>
      </c>
      <c r="E70" s="13">
        <f>TEB!F49*E38</f>
        <v>-113147.90355009312</v>
      </c>
      <c r="F70" s="13">
        <f>TEB!G49*F38</f>
        <v>-100155.64360468663</v>
      </c>
      <c r="G70" s="13">
        <f>TEB!H49*G38</f>
        <v>-89461.241722308434</v>
      </c>
      <c r="H70" s="13">
        <f>TEB!I49*H38</f>
        <v>-71517.124830641435</v>
      </c>
      <c r="I70" s="13">
        <f>TEB!J49*I38</f>
        <v>-58838.38238112165</v>
      </c>
      <c r="J70" s="13">
        <f>TEB!K49*J38</f>
        <v>-44680.528294630683</v>
      </c>
      <c r="K70" s="13">
        <f>TEB!L49*K38</f>
        <v>-99342.238210441516</v>
      </c>
      <c r="L70" s="13">
        <f>TEB!M49*L38</f>
        <v>-105037.38448189161</v>
      </c>
      <c r="M70" s="13">
        <f>TEB!N49*M38</f>
        <v>-83108.675461825944</v>
      </c>
      <c r="N70" s="13">
        <f>TEB!O49*N38</f>
        <v>-61662.483476751375</v>
      </c>
      <c r="O70" s="13">
        <f>TEB!P49*O38</f>
        <v>-40716.509285907909</v>
      </c>
      <c r="P70" s="13">
        <f>TEB!Q49*P38</f>
        <v>-25150.779199864552</v>
      </c>
      <c r="Q70" s="13">
        <f>TEB!R49*Q38</f>
        <v>0</v>
      </c>
      <c r="R70" s="22">
        <f t="shared" si="37"/>
        <v>-779670.99095007183</v>
      </c>
      <c r="S70" s="18">
        <f t="shared" si="38"/>
        <v>-64972.582579172653</v>
      </c>
      <c r="U70" s="26">
        <f>SUM(J70:M70)</f>
        <v>-332168.82644878974</v>
      </c>
      <c r="V70" s="26">
        <f t="shared" si="36"/>
        <v>-447502.16450128192</v>
      </c>
    </row>
    <row r="71" spans="1:22" x14ac:dyDescent="0.25">
      <c r="A71" s="15" t="s">
        <v>1</v>
      </c>
      <c r="B71" s="18">
        <f t="shared" ref="B71:M71" si="39">SUM(B66:B70)</f>
        <v>1100877.5452771273</v>
      </c>
      <c r="C71" s="18">
        <f t="shared" si="39"/>
        <v>787963.55423988937</v>
      </c>
      <c r="D71" s="18">
        <f t="shared" si="39"/>
        <v>1121877.6972700902</v>
      </c>
      <c r="E71" s="18">
        <f t="shared" si="39"/>
        <v>1250042.0932592892</v>
      </c>
      <c r="F71" s="18">
        <f t="shared" si="39"/>
        <v>1242281.128754752</v>
      </c>
      <c r="G71" s="18">
        <f t="shared" si="39"/>
        <v>1073708.3578379671</v>
      </c>
      <c r="H71" s="18">
        <f t="shared" si="39"/>
        <v>587523.47941277968</v>
      </c>
      <c r="I71" s="18">
        <f t="shared" si="39"/>
        <v>438125.79478466458</v>
      </c>
      <c r="J71" s="18">
        <f t="shared" si="39"/>
        <v>517191.59284976416</v>
      </c>
      <c r="K71" s="18">
        <f t="shared" si="39"/>
        <v>886215.27212606627</v>
      </c>
      <c r="L71" s="18">
        <f t="shared" si="39"/>
        <v>661694.93058189645</v>
      </c>
      <c r="M71" s="18">
        <f t="shared" si="39"/>
        <v>498761.70371192321</v>
      </c>
      <c r="N71" s="18">
        <f t="shared" ref="N71:Q71" si="40">SUM(N66:N70)</f>
        <v>251291.64490647893</v>
      </c>
      <c r="O71" s="18">
        <f t="shared" si="40"/>
        <v>52756.609443643356</v>
      </c>
      <c r="P71" s="18">
        <f t="shared" si="40"/>
        <v>-42703.847492516565</v>
      </c>
      <c r="Q71" s="18">
        <f t="shared" si="40"/>
        <v>0</v>
      </c>
      <c r="R71" s="22">
        <f t="shared" si="37"/>
        <v>6166846.6669174191</v>
      </c>
      <c r="S71" s="18">
        <f t="shared" si="38"/>
        <v>513903.8889097849</v>
      </c>
    </row>
    <row r="72" spans="1:22" x14ac:dyDescent="0.25">
      <c r="A72" s="15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22"/>
      <c r="S72" s="18"/>
    </row>
    <row r="75" spans="1:22" x14ac:dyDescent="0.25">
      <c r="A75" s="14" t="s">
        <v>89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20"/>
      <c r="S75" s="15"/>
    </row>
    <row r="76" spans="1:22" x14ac:dyDescent="0.25">
      <c r="A76" s="15" t="s">
        <v>0</v>
      </c>
      <c r="B76" s="3">
        <f>B10</f>
        <v>43374</v>
      </c>
      <c r="C76" s="3">
        <f t="shared" ref="C76:Q76" si="41">C10</f>
        <v>43405</v>
      </c>
      <c r="D76" s="3">
        <f t="shared" si="41"/>
        <v>43435</v>
      </c>
      <c r="E76" s="3">
        <f t="shared" si="41"/>
        <v>43466</v>
      </c>
      <c r="F76" s="3">
        <f t="shared" si="41"/>
        <v>43497</v>
      </c>
      <c r="G76" s="3">
        <f t="shared" si="41"/>
        <v>43525</v>
      </c>
      <c r="H76" s="3">
        <f t="shared" si="41"/>
        <v>43556</v>
      </c>
      <c r="I76" s="3">
        <f t="shared" si="41"/>
        <v>43586</v>
      </c>
      <c r="J76" s="3">
        <f t="shared" si="41"/>
        <v>43617</v>
      </c>
      <c r="K76" s="3">
        <f t="shared" si="41"/>
        <v>43647</v>
      </c>
      <c r="L76" s="3">
        <f t="shared" si="41"/>
        <v>43678</v>
      </c>
      <c r="M76" s="3">
        <f t="shared" si="41"/>
        <v>43709</v>
      </c>
      <c r="N76" s="3">
        <f t="shared" si="41"/>
        <v>43739</v>
      </c>
      <c r="O76" s="3">
        <f t="shared" si="41"/>
        <v>43770</v>
      </c>
      <c r="P76" s="3">
        <f t="shared" si="41"/>
        <v>43800</v>
      </c>
      <c r="Q76" s="3">
        <f t="shared" si="41"/>
        <v>43831</v>
      </c>
      <c r="R76" s="21" t="s">
        <v>19</v>
      </c>
      <c r="S76" s="16" t="s">
        <v>61</v>
      </c>
    </row>
    <row r="77" spans="1:22" x14ac:dyDescent="0.25">
      <c r="A77" s="17" t="s">
        <v>2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4">
        <f>SUM(F77:Q77)</f>
        <v>0</v>
      </c>
      <c r="S77" s="18" t="e">
        <f>AVERAGE(F77:Q77)</f>
        <v>#DIV/0!</v>
      </c>
      <c r="U77" s="26">
        <f>SUM(J77:M77)</f>
        <v>0</v>
      </c>
      <c r="V77" s="26">
        <f t="shared" ref="V77:V81" si="42">SUM(F77:I77,N77:Q77)</f>
        <v>0</v>
      </c>
    </row>
    <row r="78" spans="1:22" x14ac:dyDescent="0.25">
      <c r="A78" s="17" t="s">
        <v>3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4">
        <f t="shared" ref="R78:R82" si="43">SUM(F78:Q78)</f>
        <v>0</v>
      </c>
      <c r="S78" s="18" t="e">
        <f t="shared" ref="S78:S82" si="44">AVERAGE(F78:Q78)</f>
        <v>#DIV/0!</v>
      </c>
      <c r="U78" s="26">
        <f>SUM(J78:M78)</f>
        <v>0</v>
      </c>
      <c r="V78" s="26">
        <f t="shared" si="42"/>
        <v>0</v>
      </c>
    </row>
    <row r="79" spans="1:22" x14ac:dyDescent="0.25">
      <c r="A79" s="17" t="s">
        <v>5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4">
        <f t="shared" si="43"/>
        <v>0</v>
      </c>
      <c r="S79" s="18" t="e">
        <f t="shared" si="44"/>
        <v>#DIV/0!</v>
      </c>
      <c r="U79" s="26">
        <f>SUM(J79:M79)</f>
        <v>0</v>
      </c>
      <c r="V79" s="26">
        <f t="shared" si="42"/>
        <v>0</v>
      </c>
    </row>
    <row r="80" spans="1:22" x14ac:dyDescent="0.25">
      <c r="A80" s="17" t="s">
        <v>4</v>
      </c>
      <c r="B80" s="166">
        <f>GP!C50*B37</f>
        <v>140859.71340471125</v>
      </c>
      <c r="C80" s="166">
        <f>GP!D50*C37</f>
        <v>36278.836985069458</v>
      </c>
      <c r="D80" s="166">
        <f>GP!E50*D37</f>
        <v>64202.326557621542</v>
      </c>
      <c r="E80" s="166">
        <f>GP!F50*E37</f>
        <v>61997.713136972525</v>
      </c>
      <c r="F80" s="166">
        <f>GP!G50*F37</f>
        <v>46681.758687401802</v>
      </c>
      <c r="G80" s="166">
        <f>GP!H50*G37</f>
        <v>36275.936986024717</v>
      </c>
      <c r="H80" s="166">
        <f>GP!I50*H37</f>
        <v>31907.136206185682</v>
      </c>
      <c r="I80" s="166">
        <f>GP!J50*I37</f>
        <v>39858.17136298577</v>
      </c>
      <c r="J80" s="166">
        <f>GP!K50*J37</f>
        <v>54493.39361857804</v>
      </c>
      <c r="K80" s="166">
        <f>GP!L50*K37</f>
        <v>55416.846863441395</v>
      </c>
      <c r="L80" s="166">
        <f>GP!M50*L37</f>
        <v>34933.519924042281</v>
      </c>
      <c r="M80" s="166">
        <f>GP!N50*M37</f>
        <v>31531.142190987899</v>
      </c>
      <c r="N80" s="166">
        <f>GP!O50*N37</f>
        <v>7685.6114424936823</v>
      </c>
      <c r="O80" s="166">
        <f>GP!P50*O37</f>
        <v>0</v>
      </c>
      <c r="P80" s="166">
        <f>GP!Q50*P37</f>
        <v>-37045.862549676778</v>
      </c>
      <c r="Q80" s="166">
        <f>GP!R50*Q37</f>
        <v>0</v>
      </c>
      <c r="R80" s="164">
        <f t="shared" si="43"/>
        <v>301737.65473246446</v>
      </c>
      <c r="S80" s="18">
        <f t="shared" si="44"/>
        <v>25144.804561038705</v>
      </c>
      <c r="U80" s="26">
        <f>SUM(J80:M80)</f>
        <v>176374.9025970496</v>
      </c>
      <c r="V80" s="26">
        <f t="shared" si="42"/>
        <v>125362.75213541488</v>
      </c>
    </row>
    <row r="81" spans="1:22" x14ac:dyDescent="0.25">
      <c r="A81" s="17" t="s">
        <v>6</v>
      </c>
      <c r="B81" s="166">
        <f>TEB!C50*B38</f>
        <v>-3437.7080779615167</v>
      </c>
      <c r="C81" s="166">
        <f>TEB!D50*C38</f>
        <v>-8474.3215150479646</v>
      </c>
      <c r="D81" s="166">
        <f>TEB!E50*D38</f>
        <v>-17511.104131987493</v>
      </c>
      <c r="E81" s="166">
        <f>TEB!F50*E38</f>
        <v>-25209.462452435066</v>
      </c>
      <c r="F81" s="166">
        <f>TEB!G50*F38</f>
        <v>-16036.59207356743</v>
      </c>
      <c r="G81" s="166">
        <f>TEB!H50*G38</f>
        <v>-13899.830341516812</v>
      </c>
      <c r="H81" s="166">
        <f>TEB!I50*H38</f>
        <v>-13979.288103707486</v>
      </c>
      <c r="I81" s="166">
        <f>TEB!J50*I38</f>
        <v>-16214.108636192188</v>
      </c>
      <c r="J81" s="166">
        <f>TEB!K50*J38</f>
        <v>-11689.704380384643</v>
      </c>
      <c r="K81" s="166">
        <f>TEB!L50*K38</f>
        <v>-29516.597818398874</v>
      </c>
      <c r="L81" s="166">
        <f>TEB!M50*L38</f>
        <v>-28877.124072882692</v>
      </c>
      <c r="M81" s="166">
        <f>TEB!N50*M38</f>
        <v>-25921.991343133235</v>
      </c>
      <c r="N81" s="166">
        <f>TEB!O50*N38</f>
        <v>-12367.946167439764</v>
      </c>
      <c r="O81" s="166">
        <f>TEB!P50*O38</f>
        <v>-6606.9603817470779</v>
      </c>
      <c r="P81" s="166">
        <f>TEB!Q50*P38</f>
        <v>-5670.0824254283943</v>
      </c>
      <c r="Q81" s="166">
        <f>TEB!R50*Q38</f>
        <v>0</v>
      </c>
      <c r="R81" s="164">
        <f t="shared" si="43"/>
        <v>-180780.2257443986</v>
      </c>
      <c r="S81" s="18">
        <f t="shared" si="44"/>
        <v>-15065.018812033217</v>
      </c>
      <c r="U81" s="26">
        <f>SUM(J81:M81)</f>
        <v>-96005.417614799444</v>
      </c>
      <c r="V81" s="26">
        <f t="shared" si="42"/>
        <v>-84774.808129599143</v>
      </c>
    </row>
    <row r="82" spans="1:22" x14ac:dyDescent="0.25">
      <c r="A82" s="15" t="s">
        <v>1</v>
      </c>
      <c r="B82" s="18">
        <f t="shared" ref="B82:M82" si="45">SUM(B77:B81)</f>
        <v>137422.00532674973</v>
      </c>
      <c r="C82" s="18">
        <f t="shared" si="45"/>
        <v>27804.515470021492</v>
      </c>
      <c r="D82" s="18">
        <f t="shared" si="45"/>
        <v>46691.222425634049</v>
      </c>
      <c r="E82" s="18">
        <f t="shared" si="45"/>
        <v>36788.250684537459</v>
      </c>
      <c r="F82" s="18">
        <f t="shared" si="45"/>
        <v>30645.166613834372</v>
      </c>
      <c r="G82" s="18">
        <f t="shared" si="45"/>
        <v>22376.106644507905</v>
      </c>
      <c r="H82" s="18">
        <f t="shared" si="45"/>
        <v>17927.848102478194</v>
      </c>
      <c r="I82" s="18">
        <f t="shared" si="45"/>
        <v>23644.062726793582</v>
      </c>
      <c r="J82" s="18">
        <f t="shared" si="45"/>
        <v>42803.689238193401</v>
      </c>
      <c r="K82" s="18">
        <f t="shared" si="45"/>
        <v>25900.249045042521</v>
      </c>
      <c r="L82" s="18">
        <f t="shared" si="45"/>
        <v>6056.3958511595883</v>
      </c>
      <c r="M82" s="18">
        <f t="shared" si="45"/>
        <v>5609.1508478546639</v>
      </c>
      <c r="N82" s="18">
        <f t="shared" ref="N82:Q82" si="46">SUM(N77:N81)</f>
        <v>-4682.3347249460821</v>
      </c>
      <c r="O82" s="18">
        <f t="shared" si="46"/>
        <v>-6606.9603817470779</v>
      </c>
      <c r="P82" s="18">
        <f t="shared" si="46"/>
        <v>-42715.944975105172</v>
      </c>
      <c r="Q82" s="18">
        <f t="shared" si="46"/>
        <v>0</v>
      </c>
      <c r="R82" s="164">
        <f t="shared" si="43"/>
        <v>120957.42898806589</v>
      </c>
      <c r="S82" s="18">
        <f t="shared" si="44"/>
        <v>10079.78574900549</v>
      </c>
    </row>
    <row r="83" spans="1:22" x14ac:dyDescent="0.25">
      <c r="A83" s="15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22"/>
      <c r="S83" s="18"/>
    </row>
    <row r="86" spans="1:22" x14ac:dyDescent="0.25">
      <c r="A86" s="14" t="s">
        <v>132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20"/>
      <c r="S86" s="15"/>
    </row>
    <row r="87" spans="1:22" x14ac:dyDescent="0.25">
      <c r="A87" s="15" t="s">
        <v>0</v>
      </c>
      <c r="B87" s="3">
        <f>B10</f>
        <v>43374</v>
      </c>
      <c r="C87" s="3">
        <f t="shared" ref="C87:M87" si="47">C10</f>
        <v>43405</v>
      </c>
      <c r="D87" s="3">
        <f t="shared" si="47"/>
        <v>43435</v>
      </c>
      <c r="E87" s="3">
        <f t="shared" si="47"/>
        <v>43466</v>
      </c>
      <c r="F87" s="3">
        <f t="shared" si="47"/>
        <v>43497</v>
      </c>
      <c r="G87" s="3">
        <f t="shared" si="47"/>
        <v>43525</v>
      </c>
      <c r="H87" s="3">
        <f t="shared" si="47"/>
        <v>43556</v>
      </c>
      <c r="I87" s="3">
        <f t="shared" si="47"/>
        <v>43586</v>
      </c>
      <c r="J87" s="3">
        <f t="shared" si="47"/>
        <v>43617</v>
      </c>
      <c r="K87" s="3">
        <f t="shared" si="47"/>
        <v>43647</v>
      </c>
      <c r="L87" s="3">
        <f t="shared" si="47"/>
        <v>43678</v>
      </c>
      <c r="M87" s="3">
        <f t="shared" si="47"/>
        <v>43709</v>
      </c>
      <c r="N87" s="3"/>
      <c r="O87" s="3"/>
      <c r="P87" s="3"/>
      <c r="Q87" s="3"/>
      <c r="R87" s="21" t="s">
        <v>19</v>
      </c>
      <c r="S87" s="16" t="s">
        <v>61</v>
      </c>
    </row>
    <row r="88" spans="1:22" x14ac:dyDescent="0.25">
      <c r="A88" s="17" t="s">
        <v>2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4">
        <f>SUM(F88:Q88)</f>
        <v>0</v>
      </c>
      <c r="S88" s="18" t="e">
        <f>AVERAGE(F88:Q88)</f>
        <v>#DIV/0!</v>
      </c>
      <c r="V88" s="26">
        <f t="shared" ref="V88:V93" si="48">SUM(F88:I88,N88:Q88)</f>
        <v>0</v>
      </c>
    </row>
    <row r="89" spans="1:22" x14ac:dyDescent="0.25">
      <c r="A89" s="17" t="s">
        <v>3</v>
      </c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4">
        <f t="shared" ref="R89:R93" si="49">SUM(F89:Q89)</f>
        <v>0</v>
      </c>
      <c r="S89" s="18" t="e">
        <f t="shared" ref="S89:S93" si="50">AVERAGE(F89:Q89)</f>
        <v>#DIV/0!</v>
      </c>
      <c r="V89" s="26">
        <f t="shared" si="48"/>
        <v>0</v>
      </c>
    </row>
    <row r="90" spans="1:22" x14ac:dyDescent="0.25">
      <c r="A90" s="17" t="s">
        <v>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4">
        <f t="shared" si="49"/>
        <v>0</v>
      </c>
      <c r="S90" s="18" t="e">
        <f t="shared" si="50"/>
        <v>#DIV/0!</v>
      </c>
      <c r="V90" s="26">
        <f t="shared" si="48"/>
        <v>0</v>
      </c>
    </row>
    <row r="91" spans="1:22" x14ac:dyDescent="0.25">
      <c r="A91" s="17" t="s">
        <v>4</v>
      </c>
      <c r="B91" s="166">
        <f>GP!C52*B37</f>
        <v>1548.8065351074815</v>
      </c>
      <c r="C91" s="166">
        <f>GP!D52*C37</f>
        <v>940.21638219840008</v>
      </c>
      <c r="D91" s="166">
        <f>GP!E52*D37</f>
        <v>1202.4959639996773</v>
      </c>
      <c r="E91" s="166">
        <f>GP!F52*E37</f>
        <v>1336.6106362535552</v>
      </c>
      <c r="F91" s="166">
        <f>GP!G52*F37</f>
        <v>871.87393109056279</v>
      </c>
      <c r="G91" s="166">
        <f>GP!H52*G37</f>
        <v>780.7101772677936</v>
      </c>
      <c r="H91" s="166">
        <f>GP!I52*H37</f>
        <v>783.14213005060196</v>
      </c>
      <c r="I91" s="166">
        <f>GP!J52*I37</f>
        <v>916.15368044300067</v>
      </c>
      <c r="J91" s="166">
        <f>GP!K52*J37</f>
        <v>1230.1188468371383</v>
      </c>
      <c r="K91" s="166">
        <f>GP!L52*K37</f>
        <v>872.3130874061037</v>
      </c>
      <c r="L91" s="166">
        <f>GP!M52*L37</f>
        <v>523.73835634742511</v>
      </c>
      <c r="M91" s="166">
        <f>GP!N52*M37</f>
        <v>378.84376293857275</v>
      </c>
      <c r="N91" s="166">
        <f>GP!O52*N37</f>
        <v>564.92077282784453</v>
      </c>
      <c r="O91" s="166">
        <f>GP!P52*O37</f>
        <v>0</v>
      </c>
      <c r="P91" s="166">
        <f>GP!Q52*P37</f>
        <v>-647.19480414584257</v>
      </c>
      <c r="Q91" s="166">
        <f>GP!R52*Q37</f>
        <v>0</v>
      </c>
      <c r="R91" s="164">
        <f t="shared" si="49"/>
        <v>6274.6199410631998</v>
      </c>
      <c r="S91" s="18">
        <f t="shared" si="50"/>
        <v>522.88499508860002</v>
      </c>
      <c r="U91" s="26">
        <f>SUM(J91:M91)</f>
        <v>3005.0140535292394</v>
      </c>
      <c r="V91" s="26">
        <f t="shared" si="48"/>
        <v>3269.6058875339604</v>
      </c>
    </row>
    <row r="92" spans="1:22" x14ac:dyDescent="0.25">
      <c r="A92" s="17" t="s">
        <v>6</v>
      </c>
      <c r="B92" s="166">
        <f>TEB!C52*B38</f>
        <v>-99.412099897582763</v>
      </c>
      <c r="C92" s="166">
        <f>TEB!D52*C38</f>
        <v>-420.4485209073286</v>
      </c>
      <c r="D92" s="166">
        <f>TEB!E52*D38</f>
        <v>-818.27045775437944</v>
      </c>
      <c r="E92" s="166">
        <f>TEB!F52*E38</f>
        <v>-1000.5845269555313</v>
      </c>
      <c r="F92" s="166">
        <f>TEB!G52*F38</f>
        <v>-901.70529382189943</v>
      </c>
      <c r="G92" s="166">
        <f>TEB!H52*G38</f>
        <v>-817.98108259464038</v>
      </c>
      <c r="H92" s="166">
        <f>TEB!I52*H38</f>
        <v>-800.82359640811433</v>
      </c>
      <c r="I92" s="166">
        <f>TEB!J52*I38</f>
        <v>-573.52705906254687</v>
      </c>
      <c r="J92" s="166">
        <f>TEB!K52*J38</f>
        <v>-375.05706691461415</v>
      </c>
      <c r="K92" s="166">
        <f>TEB!L52*K38</f>
        <v>-694.18594177954208</v>
      </c>
      <c r="L92" s="166">
        <f>TEB!M52*L38</f>
        <v>-733.03163295826494</v>
      </c>
      <c r="M92" s="166">
        <f>TEB!N52*M38</f>
        <v>-585.6256251563201</v>
      </c>
      <c r="N92" s="166">
        <f>TEB!O52*N38</f>
        <v>-530.15868313205476</v>
      </c>
      <c r="O92" s="166">
        <f>TEB!P52*O38</f>
        <v>-454.24236888418756</v>
      </c>
      <c r="P92" s="166">
        <f>TEB!Q52*P38</f>
        <v>-239.58213150327842</v>
      </c>
      <c r="Q92" s="166">
        <f>TEB!R52*Q38</f>
        <v>0</v>
      </c>
      <c r="R92" s="164">
        <f t="shared" si="49"/>
        <v>-6705.9204822154616</v>
      </c>
      <c r="S92" s="18">
        <f t="shared" si="50"/>
        <v>-558.82670685128846</v>
      </c>
      <c r="U92" s="26">
        <f>SUM(J92:M92)</f>
        <v>-2387.9002668087414</v>
      </c>
      <c r="V92" s="26">
        <f t="shared" si="48"/>
        <v>-4318.0202154067219</v>
      </c>
    </row>
    <row r="93" spans="1:22" x14ac:dyDescent="0.25">
      <c r="A93" s="15" t="s">
        <v>1</v>
      </c>
      <c r="B93" s="18">
        <f>SUM(B88:B92)</f>
        <v>1449.3944352098988</v>
      </c>
      <c r="C93" s="18">
        <f t="shared" ref="C93:Q93" si="51">SUM(C88:C92)</f>
        <v>519.76786129107154</v>
      </c>
      <c r="D93" s="18">
        <f t="shared" si="51"/>
        <v>384.22550624529788</v>
      </c>
      <c r="E93" s="18">
        <f t="shared" si="51"/>
        <v>336.02610929802393</v>
      </c>
      <c r="F93" s="18">
        <f t="shared" si="51"/>
        <v>-29.83136273133664</v>
      </c>
      <c r="G93" s="18">
        <f t="shared" si="51"/>
        <v>-37.270905326846787</v>
      </c>
      <c r="H93" s="18">
        <f t="shared" si="51"/>
        <v>-17.681466357512363</v>
      </c>
      <c r="I93" s="18">
        <f t="shared" si="51"/>
        <v>342.6266213804538</v>
      </c>
      <c r="J93" s="18">
        <f t="shared" si="51"/>
        <v>855.06177992252424</v>
      </c>
      <c r="K93" s="18">
        <f t="shared" si="51"/>
        <v>178.12714562656163</v>
      </c>
      <c r="L93" s="18">
        <f t="shared" si="51"/>
        <v>-209.29327661083983</v>
      </c>
      <c r="M93" s="18">
        <f t="shared" si="51"/>
        <v>-206.78186221774735</v>
      </c>
      <c r="N93" s="18">
        <f t="shared" si="51"/>
        <v>34.762089695789768</v>
      </c>
      <c r="O93" s="18">
        <f t="shared" si="51"/>
        <v>-454.24236888418756</v>
      </c>
      <c r="P93" s="18">
        <f t="shared" si="51"/>
        <v>-886.77693564912101</v>
      </c>
      <c r="Q93" s="18">
        <f t="shared" si="51"/>
        <v>0</v>
      </c>
      <c r="R93" s="164">
        <f t="shared" si="49"/>
        <v>-431.30054115226216</v>
      </c>
      <c r="S93" s="18">
        <f t="shared" si="50"/>
        <v>-35.941711762688513</v>
      </c>
      <c r="V93" s="26">
        <f t="shared" si="48"/>
        <v>-1048.4143278727609</v>
      </c>
    </row>
    <row r="94" spans="1:22" x14ac:dyDescent="0.25">
      <c r="A94" s="15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22"/>
      <c r="S94" s="18"/>
    </row>
  </sheetData>
  <pageMargins left="0.7" right="0.7" top="0.75" bottom="0.75" header="0.3" footer="0.3"/>
  <pageSetup scale="45" fitToHeight="2" orientation="landscape" r:id="rId1"/>
  <headerFooter>
    <oddFooter>Page &amp;P of &amp;N</oddFooter>
  </headerFooter>
  <rowBreaks count="1" manualBreakCount="1">
    <brk id="51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87"/>
  <sheetViews>
    <sheetView topLeftCell="A13" zoomScale="80" zoomScaleNormal="80" workbookViewId="0">
      <selection activeCell="O20" sqref="O20"/>
    </sheetView>
  </sheetViews>
  <sheetFormatPr defaultColWidth="8.7109375" defaultRowHeight="15" x14ac:dyDescent="0.25"/>
  <cols>
    <col min="1" max="1" width="8.7109375" style="42"/>
    <col min="2" max="2" width="33.140625" style="42" customWidth="1"/>
    <col min="3" max="4" width="12.42578125" style="42" customWidth="1"/>
    <col min="5" max="14" width="12.42578125" style="42" bestFit="1" customWidth="1"/>
    <col min="15" max="18" width="12.42578125" style="42" customWidth="1"/>
    <col min="19" max="19" width="14.42578125" style="86" customWidth="1"/>
    <col min="20" max="20" width="8.7109375" style="42"/>
    <col min="21" max="21" width="20.140625" style="42" bestFit="1" customWidth="1"/>
    <col min="22" max="22" width="9.5703125" style="42" bestFit="1" customWidth="1"/>
    <col min="23" max="16384" width="8.7109375" style="42"/>
  </cols>
  <sheetData>
    <row r="4" spans="1:19" x14ac:dyDescent="0.25">
      <c r="A4" s="61" t="s">
        <v>141</v>
      </c>
    </row>
    <row r="5" spans="1:19" x14ac:dyDescent="0.25">
      <c r="A5" s="61" t="s">
        <v>142</v>
      </c>
    </row>
    <row r="6" spans="1:19" x14ac:dyDescent="0.25">
      <c r="A6" s="61" t="s">
        <v>143</v>
      </c>
    </row>
    <row r="7" spans="1:19" x14ac:dyDescent="0.25">
      <c r="A7" s="61" t="s">
        <v>182</v>
      </c>
    </row>
    <row r="8" spans="1:19" x14ac:dyDescent="0.25">
      <c r="A8" s="61"/>
    </row>
    <row r="9" spans="1:19" x14ac:dyDescent="0.25">
      <c r="B9" s="86"/>
    </row>
    <row r="10" spans="1:19" ht="9" customHeight="1" thickBot="1" x14ac:dyDescent="0.3"/>
    <row r="11" spans="1:19" x14ac:dyDescent="0.25">
      <c r="B11" s="87"/>
      <c r="C11" s="225">
        <v>2018</v>
      </c>
      <c r="D11" s="226"/>
      <c r="E11" s="226"/>
      <c r="F11" s="227">
        <v>2019</v>
      </c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05">
        <v>2020</v>
      </c>
      <c r="S11" s="88"/>
    </row>
    <row r="12" spans="1:19" ht="16.5" thickBot="1" x14ac:dyDescent="0.3">
      <c r="B12" s="89"/>
      <c r="C12" s="189" t="s">
        <v>13</v>
      </c>
      <c r="D12" s="189" t="s">
        <v>14</v>
      </c>
      <c r="E12" s="189" t="s">
        <v>15</v>
      </c>
      <c r="F12" s="190" t="s">
        <v>16</v>
      </c>
      <c r="G12" s="190" t="s">
        <v>17</v>
      </c>
      <c r="H12" s="190" t="s">
        <v>18</v>
      </c>
      <c r="I12" s="190" t="s">
        <v>7</v>
      </c>
      <c r="J12" s="190" t="s">
        <v>8</v>
      </c>
      <c r="K12" s="190" t="s">
        <v>9</v>
      </c>
      <c r="L12" s="190" t="s">
        <v>10</v>
      </c>
      <c r="M12" s="190" t="s">
        <v>11</v>
      </c>
      <c r="N12" s="190" t="s">
        <v>12</v>
      </c>
      <c r="O12" s="191" t="s">
        <v>13</v>
      </c>
      <c r="P12" s="191" t="s">
        <v>14</v>
      </c>
      <c r="Q12" s="191" t="s">
        <v>15</v>
      </c>
      <c r="R12" s="206" t="s">
        <v>16</v>
      </c>
      <c r="S12" s="90" t="s">
        <v>19</v>
      </c>
    </row>
    <row r="13" spans="1:19" x14ac:dyDescent="0.25">
      <c r="B13" s="91"/>
      <c r="C13" s="92"/>
      <c r="D13" s="92"/>
      <c r="E13" s="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207"/>
      <c r="S13" s="93"/>
    </row>
    <row r="14" spans="1:19" x14ac:dyDescent="0.25">
      <c r="B14" s="94" t="s">
        <v>20</v>
      </c>
      <c r="C14" s="95"/>
      <c r="D14" s="95"/>
      <c r="E14" s="95"/>
      <c r="F14" s="193"/>
      <c r="G14" s="193"/>
      <c r="H14" s="193"/>
      <c r="I14" s="194"/>
      <c r="J14" s="194"/>
      <c r="K14" s="194"/>
      <c r="L14" s="194"/>
      <c r="M14" s="194"/>
      <c r="N14" s="194"/>
      <c r="O14" s="194"/>
      <c r="P14" s="194"/>
      <c r="Q14" s="194"/>
      <c r="R14" s="208"/>
      <c r="S14" s="96"/>
    </row>
    <row r="15" spans="1:19" x14ac:dyDescent="0.25">
      <c r="B15" s="91" t="s">
        <v>21</v>
      </c>
      <c r="C15" s="97">
        <v>117424.058</v>
      </c>
      <c r="D15" s="97">
        <v>122975.02899999999</v>
      </c>
      <c r="E15" s="97">
        <v>159231.02600000001</v>
      </c>
      <c r="F15" s="195">
        <v>169750.136</v>
      </c>
      <c r="G15" s="195">
        <v>182365.08300000001</v>
      </c>
      <c r="H15" s="195">
        <v>177860.522</v>
      </c>
      <c r="I15" s="195">
        <v>113341.03</v>
      </c>
      <c r="J15" s="195">
        <v>89516.077000000005</v>
      </c>
      <c r="K15" s="195">
        <v>107205.905</v>
      </c>
      <c r="L15" s="195">
        <v>146264.764</v>
      </c>
      <c r="M15" s="195">
        <v>157355.75399999999</v>
      </c>
      <c r="N15" s="195">
        <v>155476.08199999999</v>
      </c>
      <c r="O15" s="195">
        <v>123272.534</v>
      </c>
      <c r="P15" s="195">
        <v>122143.637</v>
      </c>
      <c r="Q15" s="195">
        <v>156046.26199999999</v>
      </c>
      <c r="R15" s="209">
        <v>168116.95300000001</v>
      </c>
      <c r="S15" s="98">
        <f>SUM(G15:R15)</f>
        <v>1698964.6029999999</v>
      </c>
    </row>
    <row r="16" spans="1:19" x14ac:dyDescent="0.25">
      <c r="B16" s="99" t="s">
        <v>22</v>
      </c>
      <c r="C16" s="100">
        <f>C21*C18/1000</f>
        <v>103216.44710681013</v>
      </c>
      <c r="D16" s="100">
        <f t="shared" ref="D16:R16" si="0">D21*D18/1000</f>
        <v>105649.7581010146</v>
      </c>
      <c r="E16" s="100">
        <f t="shared" si="0"/>
        <v>151013.29497512805</v>
      </c>
      <c r="F16" s="196">
        <f>F21*F18/1000</f>
        <v>177827.27505466348</v>
      </c>
      <c r="G16" s="196">
        <f t="shared" si="0"/>
        <v>187838.24966614813</v>
      </c>
      <c r="H16" s="196">
        <f t="shared" si="0"/>
        <v>169750.88063138971</v>
      </c>
      <c r="I16" s="196">
        <f t="shared" si="0"/>
        <v>111664.82691395919</v>
      </c>
      <c r="J16" s="196">
        <f t="shared" si="0"/>
        <v>91992.218759836571</v>
      </c>
      <c r="K16" s="196">
        <f t="shared" si="0"/>
        <v>108079.11866157394</v>
      </c>
      <c r="L16" s="196">
        <f t="shared" si="0"/>
        <v>154056.11366179466</v>
      </c>
      <c r="M16" s="196">
        <f t="shared" si="0"/>
        <v>163562.59915619181</v>
      </c>
      <c r="N16" s="196">
        <f t="shared" si="0"/>
        <v>141667.86496909749</v>
      </c>
      <c r="O16" s="196">
        <f t="shared" si="0"/>
        <v>104469.84989487266</v>
      </c>
      <c r="P16" s="196">
        <f t="shared" si="0"/>
        <v>106795.6058770653</v>
      </c>
      <c r="Q16" s="196">
        <f t="shared" si="0"/>
        <v>152526.39864790381</v>
      </c>
      <c r="R16" s="210">
        <f t="shared" si="0"/>
        <v>179595.03642414388</v>
      </c>
      <c r="S16" s="101">
        <f>SUM(G16:R16)</f>
        <v>1671998.7632639774</v>
      </c>
    </row>
    <row r="17" spans="2:21" x14ac:dyDescent="0.25">
      <c r="B17" s="91"/>
      <c r="C17" s="97"/>
      <c r="D17" s="97"/>
      <c r="E17" s="97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209"/>
      <c r="S17" s="98"/>
    </row>
    <row r="18" spans="2:21" x14ac:dyDescent="0.25">
      <c r="B18" s="102" t="s">
        <v>23</v>
      </c>
      <c r="C18" s="103">
        <v>129782</v>
      </c>
      <c r="D18" s="103">
        <v>130374</v>
      </c>
      <c r="E18" s="103">
        <v>130643</v>
      </c>
      <c r="F18" s="197">
        <v>130773</v>
      </c>
      <c r="G18" s="197">
        <v>130849</v>
      </c>
      <c r="H18" s="197">
        <v>130887</v>
      </c>
      <c r="I18" s="197">
        <v>130759</v>
      </c>
      <c r="J18" s="197">
        <v>130718</v>
      </c>
      <c r="K18" s="197">
        <v>130903</v>
      </c>
      <c r="L18" s="197">
        <v>130896</v>
      </c>
      <c r="M18" s="197">
        <v>131173</v>
      </c>
      <c r="N18" s="197">
        <v>131203</v>
      </c>
      <c r="O18" s="197">
        <v>131358</v>
      </c>
      <c r="P18" s="197">
        <v>131788</v>
      </c>
      <c r="Q18" s="197">
        <v>131952</v>
      </c>
      <c r="R18" s="211">
        <v>132073</v>
      </c>
      <c r="S18" s="104">
        <f>ROUND(AVERAGE(G18:R18),0)</f>
        <v>131213</v>
      </c>
    </row>
    <row r="19" spans="2:21" x14ac:dyDescent="0.25">
      <c r="B19" s="91"/>
      <c r="C19" s="97"/>
      <c r="D19" s="97"/>
      <c r="E19" s="97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209"/>
      <c r="S19" s="98"/>
    </row>
    <row r="20" spans="2:21" x14ac:dyDescent="0.25">
      <c r="B20" s="91" t="s">
        <v>24</v>
      </c>
      <c r="C20" s="97">
        <f>C15*1000/C18</f>
        <v>904.77922978533229</v>
      </c>
      <c r="D20" s="97">
        <f t="shared" ref="D20:R20" si="1">D15*1000/D18</f>
        <v>943.24810928559373</v>
      </c>
      <c r="E20" s="97">
        <f t="shared" si="1"/>
        <v>1218.8255474843659</v>
      </c>
      <c r="F20" s="195">
        <f t="shared" si="1"/>
        <v>1298.0518608581283</v>
      </c>
      <c r="G20" s="195">
        <f t="shared" si="1"/>
        <v>1393.7063561815528</v>
      </c>
      <c r="H20" s="195">
        <f t="shared" si="1"/>
        <v>1358.8860773033227</v>
      </c>
      <c r="I20" s="195">
        <f t="shared" si="1"/>
        <v>866.79333736109947</v>
      </c>
      <c r="J20" s="195">
        <f t="shared" si="1"/>
        <v>684.80298811181319</v>
      </c>
      <c r="K20" s="195">
        <f t="shared" si="1"/>
        <v>818.97210147972157</v>
      </c>
      <c r="L20" s="195">
        <f t="shared" si="1"/>
        <v>1117.4120217577313</v>
      </c>
      <c r="M20" s="195">
        <f t="shared" si="1"/>
        <v>1199.6047509777165</v>
      </c>
      <c r="N20" s="195">
        <f t="shared" si="1"/>
        <v>1185.0040166764479</v>
      </c>
      <c r="O20" s="195">
        <f t="shared" si="1"/>
        <v>938.44709876825164</v>
      </c>
      <c r="P20" s="195">
        <f t="shared" si="1"/>
        <v>926.8191109964489</v>
      </c>
      <c r="Q20" s="195">
        <f t="shared" si="1"/>
        <v>1182.5986874014793</v>
      </c>
      <c r="R20" s="209">
        <f t="shared" si="1"/>
        <v>1272.9093228744709</v>
      </c>
      <c r="S20" s="98">
        <f>SUM(G20:R20)</f>
        <v>12945.955869890055</v>
      </c>
    </row>
    <row r="21" spans="2:21" x14ac:dyDescent="0.25">
      <c r="B21" s="102" t="s">
        <v>25</v>
      </c>
      <c r="C21" s="103">
        <f>C20*LTOutput!AA10</f>
        <v>795.30633760313549</v>
      </c>
      <c r="D21" s="103">
        <f>D20*LTOutput!AB10</f>
        <v>810.3591061178962</v>
      </c>
      <c r="E21" s="103">
        <f>E20*LTOutput!AC10</f>
        <v>1155.9233558256321</v>
      </c>
      <c r="F21" s="197">
        <f>F20*LTOutput!AD10</f>
        <v>1359.8164380618589</v>
      </c>
      <c r="G21" s="197">
        <f>G20*LTOutput!AE10</f>
        <v>1435.5344684800657</v>
      </c>
      <c r="H21" s="197">
        <f>H20*LTOutput!AF10</f>
        <v>1296.9269723608129</v>
      </c>
      <c r="I21" s="197">
        <f>I20*LTOutput!AG10</f>
        <v>853.97431086165534</v>
      </c>
      <c r="J21" s="197">
        <f>J20*LTOutput!AH10</f>
        <v>703.74561085570895</v>
      </c>
      <c r="K21" s="197">
        <f>K20*LTOutput!AI10</f>
        <v>825.6427939892435</v>
      </c>
      <c r="L21" s="197">
        <f>L20*LTOutput!AJ10</f>
        <v>1176.935228439331</v>
      </c>
      <c r="M21" s="197">
        <f>M20*LTOutput!AK10</f>
        <v>1246.9227596852386</v>
      </c>
      <c r="N21" s="197">
        <f>N20*LTOutput!AL10</f>
        <v>1079.7608665129417</v>
      </c>
      <c r="O21" s="197">
        <v>795.30633760313549</v>
      </c>
      <c r="P21" s="197">
        <v>810.3591061178962</v>
      </c>
      <c r="Q21" s="197">
        <v>1155.9233558256321</v>
      </c>
      <c r="R21" s="211">
        <v>1359.8164380618589</v>
      </c>
      <c r="S21" s="104">
        <f>SUM(G21:R21)</f>
        <v>12740.84824879352</v>
      </c>
      <c r="U21" s="80"/>
    </row>
    <row r="22" spans="2:21" x14ac:dyDescent="0.25">
      <c r="B22" s="91"/>
      <c r="C22" s="97"/>
      <c r="D22" s="97"/>
      <c r="E22" s="97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209"/>
      <c r="S22" s="98"/>
    </row>
    <row r="23" spans="2:21" x14ac:dyDescent="0.25">
      <c r="B23" s="105" t="s">
        <v>26</v>
      </c>
      <c r="C23" s="106">
        <f>C21*$R18/1000</f>
        <v>105038.4939262589</v>
      </c>
      <c r="D23" s="106">
        <f t="shared" ref="D23:R23" si="2">D21*$R18/1000</f>
        <v>107026.5582223089</v>
      </c>
      <c r="E23" s="106">
        <f t="shared" si="2"/>
        <v>152666.26537395871</v>
      </c>
      <c r="F23" s="198">
        <f t="shared" si="2"/>
        <v>179595.03642414388</v>
      </c>
      <c r="G23" s="198">
        <f t="shared" si="2"/>
        <v>189595.34385556771</v>
      </c>
      <c r="H23" s="198">
        <f t="shared" si="2"/>
        <v>171289.03602060964</v>
      </c>
      <c r="I23" s="198">
        <f t="shared" si="2"/>
        <v>112786.94915843141</v>
      </c>
      <c r="J23" s="198">
        <f t="shared" si="2"/>
        <v>92945.794062546047</v>
      </c>
      <c r="K23" s="198">
        <f t="shared" si="2"/>
        <v>109045.12073054137</v>
      </c>
      <c r="L23" s="198">
        <f t="shared" si="2"/>
        <v>155441.36642566777</v>
      </c>
      <c r="M23" s="198">
        <f t="shared" si="2"/>
        <v>164684.82963990851</v>
      </c>
      <c r="N23" s="198">
        <f t="shared" si="2"/>
        <v>142607.25692296374</v>
      </c>
      <c r="O23" s="198">
        <f t="shared" si="2"/>
        <v>105038.4939262589</v>
      </c>
      <c r="P23" s="198">
        <f t="shared" si="2"/>
        <v>107026.5582223089</v>
      </c>
      <c r="Q23" s="198">
        <f t="shared" si="2"/>
        <v>152666.26537395871</v>
      </c>
      <c r="R23" s="212">
        <f t="shared" si="2"/>
        <v>179595.03642414388</v>
      </c>
      <c r="S23" s="107">
        <f>SUM(G23:R23)</f>
        <v>1682722.0507629069</v>
      </c>
    </row>
    <row r="24" spans="2:21" ht="15.75" thickBot="1" x14ac:dyDescent="0.3">
      <c r="B24" s="108"/>
      <c r="C24" s="109"/>
      <c r="D24" s="109"/>
      <c r="E24" s="10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213"/>
      <c r="S24" s="110"/>
    </row>
    <row r="25" spans="2:21" ht="15.75" thickTop="1" x14ac:dyDescent="0.25">
      <c r="B25" s="91"/>
      <c r="C25" s="111"/>
      <c r="D25" s="111"/>
      <c r="E25" s="111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14"/>
      <c r="S25" s="112"/>
    </row>
    <row r="26" spans="2:21" x14ac:dyDescent="0.25">
      <c r="B26" s="94" t="s">
        <v>27</v>
      </c>
      <c r="C26" s="113"/>
      <c r="D26" s="113"/>
      <c r="E26" s="113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15"/>
      <c r="S26" s="114"/>
    </row>
    <row r="27" spans="2:21" x14ac:dyDescent="0.25">
      <c r="B27" s="91" t="s">
        <v>21</v>
      </c>
      <c r="C27" s="97">
        <v>26957.595000000001</v>
      </c>
      <c r="D27" s="97">
        <v>24308.859</v>
      </c>
      <c r="E27" s="97">
        <v>25315.295999999998</v>
      </c>
      <c r="F27" s="195">
        <v>27068.112000000001</v>
      </c>
      <c r="G27" s="195">
        <v>27017.842000000001</v>
      </c>
      <c r="H27" s="195">
        <v>27595.8</v>
      </c>
      <c r="I27" s="195">
        <v>22889.293000000001</v>
      </c>
      <c r="J27" s="195">
        <v>21198.948</v>
      </c>
      <c r="K27" s="195">
        <v>22725.314999999999</v>
      </c>
      <c r="L27" s="195">
        <v>31014.187000000002</v>
      </c>
      <c r="M27" s="195">
        <v>31488.465</v>
      </c>
      <c r="N27" s="195">
        <v>31118.775000000001</v>
      </c>
      <c r="O27" s="195">
        <v>26071.806</v>
      </c>
      <c r="P27" s="195">
        <v>23505.881000000001</v>
      </c>
      <c r="Q27" s="195">
        <v>26218.832999999999</v>
      </c>
      <c r="R27" s="209">
        <v>26514.05</v>
      </c>
      <c r="S27" s="98">
        <f>SUM(G27:R27)</f>
        <v>317359.19500000001</v>
      </c>
    </row>
    <row r="28" spans="2:21" x14ac:dyDescent="0.25">
      <c r="B28" s="99" t="s">
        <v>22</v>
      </c>
      <c r="C28" s="100">
        <f>C33*C30/1000</f>
        <v>25249.267711258999</v>
      </c>
      <c r="D28" s="100">
        <f t="shared" ref="D28:R28" si="3">D33*D30/1000</f>
        <v>23250.407258019848</v>
      </c>
      <c r="E28" s="100">
        <f t="shared" si="3"/>
        <v>24856.401062319088</v>
      </c>
      <c r="F28" s="196">
        <f t="shared" si="3"/>
        <v>27571.124537459105</v>
      </c>
      <c r="G28" s="196">
        <f>G33*G30/1000</f>
        <v>27336.574665583499</v>
      </c>
      <c r="H28" s="196">
        <f t="shared" si="3"/>
        <v>27106.885426477209</v>
      </c>
      <c r="I28" s="196">
        <f t="shared" si="3"/>
        <v>22802.707185823194</v>
      </c>
      <c r="J28" s="196">
        <f t="shared" si="3"/>
        <v>21263.012461328537</v>
      </c>
      <c r="K28" s="196">
        <f t="shared" si="3"/>
        <v>22797.422978755443</v>
      </c>
      <c r="L28" s="196">
        <f t="shared" si="3"/>
        <v>31954.566290276787</v>
      </c>
      <c r="M28" s="196">
        <f t="shared" si="3"/>
        <v>32192.976745090684</v>
      </c>
      <c r="N28" s="196">
        <f t="shared" si="3"/>
        <v>29444.289429631412</v>
      </c>
      <c r="O28" s="196">
        <f t="shared" si="3"/>
        <v>25460.716850208591</v>
      </c>
      <c r="P28" s="196">
        <f t="shared" si="3"/>
        <v>23390.624940388123</v>
      </c>
      <c r="Q28" s="196">
        <f t="shared" si="3"/>
        <v>25047.741802622702</v>
      </c>
      <c r="R28" s="210">
        <f t="shared" si="3"/>
        <v>27754.219996479311</v>
      </c>
      <c r="S28" s="101">
        <f>SUM(G28:R28)</f>
        <v>316551.7387726655</v>
      </c>
    </row>
    <row r="29" spans="2:21" x14ac:dyDescent="0.25">
      <c r="B29" s="91"/>
      <c r="C29" s="97"/>
      <c r="D29" s="97"/>
      <c r="E29" s="97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209"/>
      <c r="S29" s="98"/>
    </row>
    <row r="30" spans="2:21" x14ac:dyDescent="0.25">
      <c r="B30" s="102" t="s">
        <v>23</v>
      </c>
      <c r="C30" s="103">
        <v>18031</v>
      </c>
      <c r="D30" s="103">
        <v>18074</v>
      </c>
      <c r="E30" s="103">
        <v>18057</v>
      </c>
      <c r="F30" s="197">
        <v>18070</v>
      </c>
      <c r="G30" s="197">
        <v>18069</v>
      </c>
      <c r="H30" s="197">
        <v>18072</v>
      </c>
      <c r="I30" s="197">
        <v>18095</v>
      </c>
      <c r="J30" s="197">
        <v>18088</v>
      </c>
      <c r="K30" s="197">
        <v>18164</v>
      </c>
      <c r="L30" s="197">
        <v>18104</v>
      </c>
      <c r="M30" s="197">
        <v>18145</v>
      </c>
      <c r="N30" s="197">
        <v>18167</v>
      </c>
      <c r="O30" s="197">
        <v>18182</v>
      </c>
      <c r="P30" s="197">
        <v>18183</v>
      </c>
      <c r="Q30" s="197">
        <v>18196</v>
      </c>
      <c r="R30" s="211">
        <v>18190</v>
      </c>
      <c r="S30" s="104">
        <f>ROUND(AVERAGE(G30:R30),0)</f>
        <v>18138</v>
      </c>
    </row>
    <row r="31" spans="2:21" x14ac:dyDescent="0.25">
      <c r="B31" s="91"/>
      <c r="C31" s="97"/>
      <c r="D31" s="97"/>
      <c r="E31" s="97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209"/>
      <c r="S31" s="98"/>
    </row>
    <row r="32" spans="2:21" x14ac:dyDescent="0.25">
      <c r="B32" s="91" t="s">
        <v>24</v>
      </c>
      <c r="C32" s="97">
        <f>C27*1000/C30</f>
        <v>1495.0693250513004</v>
      </c>
      <c r="D32" s="97">
        <f t="shared" ref="D32:R32" si="4">D27*1000/D30</f>
        <v>1344.9628748478478</v>
      </c>
      <c r="E32" s="97">
        <f t="shared" si="4"/>
        <v>1401.9657750456886</v>
      </c>
      <c r="F32" s="195">
        <f t="shared" si="4"/>
        <v>1497.9586054233537</v>
      </c>
      <c r="G32" s="195">
        <f t="shared" si="4"/>
        <v>1495.2593945431402</v>
      </c>
      <c r="H32" s="195">
        <f t="shared" si="4"/>
        <v>1526.9920318725099</v>
      </c>
      <c r="I32" s="195">
        <f t="shared" si="4"/>
        <v>1264.9512572533849</v>
      </c>
      <c r="J32" s="195">
        <f t="shared" si="4"/>
        <v>1171.9896063688634</v>
      </c>
      <c r="K32" s="195">
        <f t="shared" si="4"/>
        <v>1251.1184210526317</v>
      </c>
      <c r="L32" s="195">
        <f t="shared" si="4"/>
        <v>1713.1124060980999</v>
      </c>
      <c r="M32" s="195">
        <f t="shared" si="4"/>
        <v>1735.379718930835</v>
      </c>
      <c r="N32" s="195">
        <f t="shared" si="4"/>
        <v>1712.9286618594153</v>
      </c>
      <c r="O32" s="195">
        <f t="shared" si="4"/>
        <v>1433.9349906500936</v>
      </c>
      <c r="P32" s="195">
        <f t="shared" si="4"/>
        <v>1292.7394269372492</v>
      </c>
      <c r="Q32" s="195">
        <f t="shared" si="4"/>
        <v>1440.9119037151022</v>
      </c>
      <c r="R32" s="209">
        <f t="shared" si="4"/>
        <v>1457.6168224299065</v>
      </c>
      <c r="S32" s="98">
        <f>SUM(G32:R32)</f>
        <v>17496.934641711232</v>
      </c>
    </row>
    <row r="33" spans="2:21" x14ac:dyDescent="0.25">
      <c r="B33" s="102" t="s">
        <v>25</v>
      </c>
      <c r="C33" s="103">
        <f>C32*LTOutput!AA11</f>
        <v>1400.3254235072375</v>
      </c>
      <c r="D33" s="103">
        <f>D32*LTOutput!AB11</f>
        <v>1286.4007556722281</v>
      </c>
      <c r="E33" s="103">
        <f>E32*LTOutput!AC11</f>
        <v>1376.5520885152068</v>
      </c>
      <c r="F33" s="197">
        <f>F32*LTOutput!AD11</f>
        <v>1525.7954918350363</v>
      </c>
      <c r="G33" s="197">
        <f>G32*LTOutput!AE11</f>
        <v>1512.8991458068238</v>
      </c>
      <c r="H33" s="197">
        <f>H32*LTOutput!AF11</f>
        <v>1499.9383259449539</v>
      </c>
      <c r="I33" s="197">
        <f>I32*LTOutput!AG11</f>
        <v>1260.1661887716605</v>
      </c>
      <c r="J33" s="197">
        <f>J32*LTOutput!AH11</f>
        <v>1175.5314275391715</v>
      </c>
      <c r="K33" s="197">
        <f>K32*LTOutput!AI11</f>
        <v>1255.08825031686</v>
      </c>
      <c r="L33" s="197">
        <f>L32*LTOutput!AJ11</f>
        <v>1765.0555838641619</v>
      </c>
      <c r="M33" s="197">
        <f>M32*LTOutput!AK11</f>
        <v>1774.2064891204564</v>
      </c>
      <c r="N33" s="197">
        <f>N32*LTOutput!AL11</f>
        <v>1620.75683545062</v>
      </c>
      <c r="O33" s="197">
        <v>1400.3254235072375</v>
      </c>
      <c r="P33" s="197">
        <v>1286.4007556722281</v>
      </c>
      <c r="Q33" s="197">
        <v>1376.5520885152068</v>
      </c>
      <c r="R33" s="211">
        <v>1525.7954918350363</v>
      </c>
      <c r="S33" s="104">
        <f>SUM(G33:R33)</f>
        <v>17452.716006344417</v>
      </c>
      <c r="U33" s="80"/>
    </row>
    <row r="34" spans="2:21" x14ac:dyDescent="0.25">
      <c r="B34" s="91"/>
      <c r="C34" s="97"/>
      <c r="D34" s="97"/>
      <c r="E34" s="97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209"/>
      <c r="S34" s="98"/>
    </row>
    <row r="35" spans="2:21" x14ac:dyDescent="0.25">
      <c r="B35" s="105" t="s">
        <v>26</v>
      </c>
      <c r="C35" s="106">
        <f>C33*$R30/1000</f>
        <v>25471.919453596649</v>
      </c>
      <c r="D35" s="106">
        <f t="shared" ref="D35:R35" si="5">D33*$R30/1000</f>
        <v>23399.62974567783</v>
      </c>
      <c r="E35" s="106">
        <f t="shared" si="5"/>
        <v>25039.48249009161</v>
      </c>
      <c r="F35" s="198">
        <f t="shared" si="5"/>
        <v>27754.219996479311</v>
      </c>
      <c r="G35" s="198">
        <f t="shared" si="5"/>
        <v>27519.635462226124</v>
      </c>
      <c r="H35" s="198">
        <f t="shared" si="5"/>
        <v>27283.878148938711</v>
      </c>
      <c r="I35" s="198">
        <f t="shared" si="5"/>
        <v>22922.422973756504</v>
      </c>
      <c r="J35" s="198">
        <f t="shared" si="5"/>
        <v>21382.91666693753</v>
      </c>
      <c r="K35" s="198">
        <f t="shared" si="5"/>
        <v>22830.055273263686</v>
      </c>
      <c r="L35" s="198">
        <f t="shared" si="5"/>
        <v>32106.361070489103</v>
      </c>
      <c r="M35" s="198">
        <f t="shared" si="5"/>
        <v>32272.8160371011</v>
      </c>
      <c r="N35" s="198">
        <f t="shared" si="5"/>
        <v>29481.566836846778</v>
      </c>
      <c r="O35" s="198">
        <f t="shared" si="5"/>
        <v>25471.919453596649</v>
      </c>
      <c r="P35" s="198">
        <f t="shared" si="5"/>
        <v>23399.62974567783</v>
      </c>
      <c r="Q35" s="198">
        <f t="shared" si="5"/>
        <v>25039.48249009161</v>
      </c>
      <c r="R35" s="212">
        <f t="shared" si="5"/>
        <v>27754.219996479311</v>
      </c>
      <c r="S35" s="107">
        <f>SUM(G35:R35)</f>
        <v>317464.90415540489</v>
      </c>
    </row>
    <row r="36" spans="2:21" ht="15.75" thickBot="1" x14ac:dyDescent="0.3">
      <c r="B36" s="108"/>
      <c r="C36" s="109"/>
      <c r="D36" s="109"/>
      <c r="E36" s="10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213"/>
      <c r="S36" s="110"/>
    </row>
    <row r="37" spans="2:21" ht="15.75" thickTop="1" x14ac:dyDescent="0.25">
      <c r="B37" s="91"/>
      <c r="C37" s="111"/>
      <c r="D37" s="111"/>
      <c r="E37" s="111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14"/>
      <c r="S37" s="112"/>
    </row>
    <row r="38" spans="2:21" x14ac:dyDescent="0.25">
      <c r="B38" s="94" t="s">
        <v>28</v>
      </c>
      <c r="C38" s="113"/>
      <c r="D38" s="113"/>
      <c r="E38" s="113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15"/>
      <c r="S38" s="114"/>
    </row>
    <row r="39" spans="2:21" x14ac:dyDescent="0.25">
      <c r="B39" s="91" t="s">
        <v>21</v>
      </c>
      <c r="C39" s="97">
        <v>76437.673999999999</v>
      </c>
      <c r="D39" s="97">
        <v>65902.051999999996</v>
      </c>
      <c r="E39" s="97">
        <v>64948.993000000002</v>
      </c>
      <c r="F39" s="195">
        <v>64548.180999999997</v>
      </c>
      <c r="G39" s="195">
        <v>65609.592000000004</v>
      </c>
      <c r="H39" s="195">
        <v>65239.671000000002</v>
      </c>
      <c r="I39" s="195">
        <v>62834.33</v>
      </c>
      <c r="J39" s="195">
        <v>65325.716</v>
      </c>
      <c r="K39" s="195">
        <v>69181.366999999998</v>
      </c>
      <c r="L39" s="195">
        <v>78774.188999999998</v>
      </c>
      <c r="M39" s="195">
        <v>82276.729000000007</v>
      </c>
      <c r="N39" s="195">
        <v>87721.823999999993</v>
      </c>
      <c r="O39" s="195">
        <v>64605.928</v>
      </c>
      <c r="P39" s="195">
        <v>64978.550999999999</v>
      </c>
      <c r="Q39" s="195">
        <v>65173.892999999996</v>
      </c>
      <c r="R39" s="209">
        <v>67186.044999999998</v>
      </c>
      <c r="S39" s="98">
        <f>SUM(G39:R39)</f>
        <v>838907.83499999996</v>
      </c>
    </row>
    <row r="40" spans="2:21" x14ac:dyDescent="0.25">
      <c r="B40" s="99" t="s">
        <v>22</v>
      </c>
      <c r="C40" s="100">
        <f>C45*C42/1000</f>
        <v>72587.74170221125</v>
      </c>
      <c r="D40" s="100">
        <f t="shared" ref="D40:R40" si="6">D45*D42/1000</f>
        <v>65049.059715595846</v>
      </c>
      <c r="E40" s="100">
        <f t="shared" si="6"/>
        <v>64729.221981057803</v>
      </c>
      <c r="F40" s="196">
        <f>F45*F42/1000</f>
        <v>64957.096657211652</v>
      </c>
      <c r="G40" s="196">
        <f t="shared" si="6"/>
        <v>65869.731469465318</v>
      </c>
      <c r="H40" s="196">
        <f t="shared" si="6"/>
        <v>64876.100350624947</v>
      </c>
      <c r="I40" s="196">
        <f t="shared" si="6"/>
        <v>62769.268995996943</v>
      </c>
      <c r="J40" s="196">
        <f t="shared" si="6"/>
        <v>64874.953967629852</v>
      </c>
      <c r="K40" s="196">
        <f t="shared" si="6"/>
        <v>68869.863846261607</v>
      </c>
      <c r="L40" s="196">
        <f t="shared" si="6"/>
        <v>79980.127061289124</v>
      </c>
      <c r="M40" s="196">
        <f t="shared" si="6"/>
        <v>83100.138507157142</v>
      </c>
      <c r="N40" s="196">
        <f t="shared" si="6"/>
        <v>84039.570285888825</v>
      </c>
      <c r="O40" s="196">
        <f t="shared" si="6"/>
        <v>72995.76723173463</v>
      </c>
      <c r="P40" s="196">
        <f t="shared" si="6"/>
        <v>65340.596117682551</v>
      </c>
      <c r="Q40" s="196">
        <f t="shared" si="6"/>
        <v>65346.728588060039</v>
      </c>
      <c r="R40" s="210">
        <f t="shared" si="6"/>
        <v>65394.76378797333</v>
      </c>
      <c r="S40" s="101">
        <f>SUM(G40:R40)</f>
        <v>843457.61020976421</v>
      </c>
    </row>
    <row r="41" spans="2:21" x14ac:dyDescent="0.25">
      <c r="B41" s="91"/>
      <c r="C41" s="97"/>
      <c r="D41" s="97"/>
      <c r="E41" s="97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209"/>
      <c r="S41" s="98"/>
    </row>
    <row r="42" spans="2:21" x14ac:dyDescent="0.25">
      <c r="B42" s="102" t="s">
        <v>23</v>
      </c>
      <c r="C42" s="103">
        <v>1779</v>
      </c>
      <c r="D42" s="103">
        <v>1785</v>
      </c>
      <c r="E42" s="103">
        <v>1782</v>
      </c>
      <c r="F42" s="197">
        <v>1781</v>
      </c>
      <c r="G42" s="197">
        <v>1785</v>
      </c>
      <c r="H42" s="197">
        <v>1786</v>
      </c>
      <c r="I42" s="197">
        <v>1786</v>
      </c>
      <c r="J42" s="197">
        <v>1785</v>
      </c>
      <c r="K42" s="197">
        <v>1783</v>
      </c>
      <c r="L42" s="197">
        <v>1786</v>
      </c>
      <c r="M42" s="197">
        <v>1789</v>
      </c>
      <c r="N42" s="197">
        <v>1790</v>
      </c>
      <c r="O42" s="197">
        <v>1789</v>
      </c>
      <c r="P42" s="197">
        <v>1793</v>
      </c>
      <c r="Q42" s="197">
        <v>1799</v>
      </c>
      <c r="R42" s="211">
        <v>1793</v>
      </c>
      <c r="S42" s="104">
        <f>ROUND(AVERAGE(G42:R42),0)</f>
        <v>1789</v>
      </c>
    </row>
    <row r="43" spans="2:21" x14ac:dyDescent="0.25">
      <c r="B43" s="91"/>
      <c r="C43" s="97"/>
      <c r="D43" s="97"/>
      <c r="E43" s="97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209"/>
      <c r="S43" s="98"/>
    </row>
    <row r="44" spans="2:21" x14ac:dyDescent="0.25">
      <c r="B44" s="91" t="s">
        <v>24</v>
      </c>
      <c r="C44" s="97">
        <f>C39*1000/C42</f>
        <v>42966.652051714445</v>
      </c>
      <c r="D44" s="97">
        <f t="shared" ref="D44:R44" si="7">D39*1000/D42</f>
        <v>36919.917086834728</v>
      </c>
      <c r="E44" s="97">
        <f t="shared" si="7"/>
        <v>36447.246352413022</v>
      </c>
      <c r="F44" s="195">
        <f t="shared" si="7"/>
        <v>36242.661987647392</v>
      </c>
      <c r="G44" s="195">
        <f t="shared" si="7"/>
        <v>36756.073949579833</v>
      </c>
      <c r="H44" s="195">
        <f t="shared" si="7"/>
        <v>36528.371220604706</v>
      </c>
      <c r="I44" s="195">
        <f t="shared" si="7"/>
        <v>35181.595744680853</v>
      </c>
      <c r="J44" s="195">
        <f t="shared" si="7"/>
        <v>36597.039775910365</v>
      </c>
      <c r="K44" s="195">
        <f t="shared" si="7"/>
        <v>38800.542344363435</v>
      </c>
      <c r="L44" s="195">
        <f t="shared" si="7"/>
        <v>44106.488801791711</v>
      </c>
      <c r="M44" s="195">
        <f t="shared" si="7"/>
        <v>45990.346003353829</v>
      </c>
      <c r="N44" s="195">
        <f t="shared" si="7"/>
        <v>49006.605586592181</v>
      </c>
      <c r="O44" s="195">
        <f t="shared" si="7"/>
        <v>36112.871995528229</v>
      </c>
      <c r="P44" s="195">
        <f t="shared" si="7"/>
        <v>36240.128834355826</v>
      </c>
      <c r="Q44" s="195">
        <f t="shared" si="7"/>
        <v>36227.844913841021</v>
      </c>
      <c r="R44" s="209">
        <f t="shared" si="7"/>
        <v>37471.302286670383</v>
      </c>
      <c r="S44" s="98">
        <f>SUM(G44:R44)</f>
        <v>469019.21145727235</v>
      </c>
    </row>
    <row r="45" spans="2:21" x14ac:dyDescent="0.25">
      <c r="B45" s="102" t="s">
        <v>25</v>
      </c>
      <c r="C45" s="103">
        <f>C44*LTOutput!AA12</f>
        <v>40802.552952339094</v>
      </c>
      <c r="D45" s="103">
        <f>D44*LTOutput!AB12</f>
        <v>36442.050260838012</v>
      </c>
      <c r="E45" s="103">
        <f>E44*LTOutput!AC12</f>
        <v>36323.918058954994</v>
      </c>
      <c r="F45" s="197">
        <f>F44*LTOutput!AD12</f>
        <v>36472.260896806096</v>
      </c>
      <c r="G45" s="197">
        <f>G44*LTOutput!AE12</f>
        <v>36901.810347039391</v>
      </c>
      <c r="H45" s="197">
        <f>H44*LTOutput!AF12</f>
        <v>36324.804227673543</v>
      </c>
      <c r="I45" s="197">
        <f>I44*LTOutput!AG12</f>
        <v>35145.167410972535</v>
      </c>
      <c r="J45" s="197">
        <f>J44*LTOutput!AH12</f>
        <v>36344.512026683391</v>
      </c>
      <c r="K45" s="197">
        <f>K44*LTOutput!AI12</f>
        <v>38625.835023141677</v>
      </c>
      <c r="L45" s="197">
        <f>L44*LTOutput!AJ12</f>
        <v>44781.706081348893</v>
      </c>
      <c r="M45" s="197">
        <f>M44*LTOutput!AK12</f>
        <v>46450.608444470177</v>
      </c>
      <c r="N45" s="197">
        <f>N44*LTOutput!AL12</f>
        <v>46949.480606641802</v>
      </c>
      <c r="O45" s="197">
        <v>40802.552952339094</v>
      </c>
      <c r="P45" s="197">
        <v>36442.050260838012</v>
      </c>
      <c r="Q45" s="197">
        <v>36323.918058954994</v>
      </c>
      <c r="R45" s="211">
        <v>36472.260896806096</v>
      </c>
      <c r="S45" s="104">
        <f>SUM(G45:R45)</f>
        <v>471564.70633690956</v>
      </c>
      <c r="U45" s="115"/>
    </row>
    <row r="46" spans="2:21" x14ac:dyDescent="0.25">
      <c r="B46" s="91"/>
      <c r="C46" s="97"/>
      <c r="D46" s="97"/>
      <c r="E46" s="97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209"/>
      <c r="S46" s="98"/>
    </row>
    <row r="47" spans="2:21" x14ac:dyDescent="0.25">
      <c r="B47" s="105" t="s">
        <v>26</v>
      </c>
      <c r="C47" s="106">
        <f>C45*$R42/1000</f>
        <v>73158.977443544005</v>
      </c>
      <c r="D47" s="106">
        <f t="shared" ref="D47:R47" si="8">D45*$R42/1000</f>
        <v>65340.596117682551</v>
      </c>
      <c r="E47" s="106">
        <f t="shared" si="8"/>
        <v>65128.7850797063</v>
      </c>
      <c r="F47" s="198">
        <f t="shared" si="8"/>
        <v>65394.76378797333</v>
      </c>
      <c r="G47" s="198">
        <f t="shared" si="8"/>
        <v>66164.945952241629</v>
      </c>
      <c r="H47" s="198">
        <f t="shared" si="8"/>
        <v>65130.373980218661</v>
      </c>
      <c r="I47" s="198">
        <f t="shared" si="8"/>
        <v>63015.285167873757</v>
      </c>
      <c r="J47" s="198">
        <f t="shared" si="8"/>
        <v>65165.710063843318</v>
      </c>
      <c r="K47" s="198">
        <f t="shared" si="8"/>
        <v>69256.12219649303</v>
      </c>
      <c r="L47" s="198">
        <f t="shared" si="8"/>
        <v>80293.599003858573</v>
      </c>
      <c r="M47" s="198">
        <f t="shared" si="8"/>
        <v>83285.940940935034</v>
      </c>
      <c r="N47" s="198">
        <f t="shared" si="8"/>
        <v>84180.418727708762</v>
      </c>
      <c r="O47" s="198">
        <f t="shared" si="8"/>
        <v>73158.977443544005</v>
      </c>
      <c r="P47" s="198">
        <f t="shared" si="8"/>
        <v>65340.596117682551</v>
      </c>
      <c r="Q47" s="198">
        <f t="shared" si="8"/>
        <v>65128.7850797063</v>
      </c>
      <c r="R47" s="212">
        <f t="shared" si="8"/>
        <v>65394.76378797333</v>
      </c>
      <c r="S47" s="107">
        <f>SUM(G47:R47)</f>
        <v>845515.518462079</v>
      </c>
    </row>
    <row r="48" spans="2:21" ht="15.75" thickBot="1" x14ac:dyDescent="0.3">
      <c r="B48" s="108"/>
      <c r="C48" s="109"/>
      <c r="D48" s="109"/>
      <c r="E48" s="10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213"/>
      <c r="S48" s="110"/>
    </row>
    <row r="49" spans="2:19" ht="15.75" thickTop="1" x14ac:dyDescent="0.25">
      <c r="B49" s="91"/>
      <c r="C49" s="111"/>
      <c r="D49" s="111"/>
      <c r="E49" s="111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14"/>
      <c r="S49" s="112"/>
    </row>
    <row r="50" spans="2:19" x14ac:dyDescent="0.25">
      <c r="B50" s="94" t="s">
        <v>29</v>
      </c>
      <c r="C50" s="113"/>
      <c r="D50" s="113"/>
      <c r="E50" s="113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15"/>
      <c r="S50" s="114"/>
    </row>
    <row r="51" spans="2:19" x14ac:dyDescent="0.25">
      <c r="B51" s="91" t="s">
        <v>21</v>
      </c>
      <c r="C51" s="97">
        <v>6131.8</v>
      </c>
      <c r="D51" s="97">
        <v>6448.058</v>
      </c>
      <c r="E51" s="97">
        <v>8053.8379999999997</v>
      </c>
      <c r="F51" s="195">
        <v>8630.1710000000003</v>
      </c>
      <c r="G51" s="195">
        <v>9292.1689999999999</v>
      </c>
      <c r="H51" s="195">
        <v>8588.6949999999997</v>
      </c>
      <c r="I51" s="195">
        <v>6145.9129999999996</v>
      </c>
      <c r="J51" s="195">
        <v>5133.8689999999997</v>
      </c>
      <c r="K51" s="195">
        <v>5641.3040000000001</v>
      </c>
      <c r="L51" s="195">
        <v>6940.9179999999997</v>
      </c>
      <c r="M51" s="195">
        <v>7257.317</v>
      </c>
      <c r="N51" s="195">
        <v>7548.3490000000002</v>
      </c>
      <c r="O51" s="195">
        <v>5882.28</v>
      </c>
      <c r="P51" s="195">
        <v>6726.1009999999997</v>
      </c>
      <c r="Q51" s="195">
        <v>7478.2</v>
      </c>
      <c r="R51" s="209">
        <v>8239.2870000000003</v>
      </c>
      <c r="S51" s="98">
        <f>SUM(G51:R51)</f>
        <v>84874.401999999987</v>
      </c>
    </row>
    <row r="52" spans="2:19" x14ac:dyDescent="0.25">
      <c r="B52" s="99" t="s">
        <v>22</v>
      </c>
      <c r="C52" s="100">
        <f>C57*C54/1000</f>
        <v>5709.2029310405906</v>
      </c>
      <c r="D52" s="100">
        <f t="shared" ref="D52:R52" si="9">D57*D54/1000</f>
        <v>5763.4765512539034</v>
      </c>
      <c r="E52" s="100">
        <f t="shared" si="9"/>
        <v>7719.5016223463699</v>
      </c>
      <c r="F52" s="196">
        <f t="shared" si="9"/>
        <v>8990.3242420179868</v>
      </c>
      <c r="G52" s="196">
        <f>G57*G54/1000</f>
        <v>9518.244118444034</v>
      </c>
      <c r="H52" s="196">
        <f t="shared" si="9"/>
        <v>8261.3585468138062</v>
      </c>
      <c r="I52" s="196">
        <f t="shared" si="9"/>
        <v>6080.176471795523</v>
      </c>
      <c r="J52" s="196">
        <f t="shared" si="9"/>
        <v>5208.6879644649225</v>
      </c>
      <c r="K52" s="196">
        <f t="shared" si="9"/>
        <v>5654.3288693682525</v>
      </c>
      <c r="L52" s="196">
        <f t="shared" si="9"/>
        <v>7131.2803109299712</v>
      </c>
      <c r="M52" s="196">
        <f t="shared" si="9"/>
        <v>7406.2382951286245</v>
      </c>
      <c r="N52" s="196">
        <f t="shared" si="9"/>
        <v>7131.8844964076898</v>
      </c>
      <c r="O52" s="196">
        <f t="shared" si="9"/>
        <v>5709.2029310405906</v>
      </c>
      <c r="P52" s="196">
        <f t="shared" si="9"/>
        <v>5767.2795710831706</v>
      </c>
      <c r="Q52" s="196">
        <f t="shared" si="9"/>
        <v>7688.9696449343201</v>
      </c>
      <c r="R52" s="210">
        <f t="shared" si="9"/>
        <v>8966.5795758125896</v>
      </c>
      <c r="S52" s="101">
        <f>SUM(G52:R52)</f>
        <v>84524.230796223506</v>
      </c>
    </row>
    <row r="53" spans="2:19" x14ac:dyDescent="0.25">
      <c r="B53" s="91"/>
      <c r="C53" s="97"/>
      <c r="D53" s="97"/>
      <c r="E53" s="97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209"/>
      <c r="S53" s="98"/>
    </row>
    <row r="54" spans="2:19" x14ac:dyDescent="0.25">
      <c r="B54" s="102" t="s">
        <v>23</v>
      </c>
      <c r="C54" s="103">
        <v>3028</v>
      </c>
      <c r="D54" s="103">
        <v>3031</v>
      </c>
      <c r="E54" s="103">
        <v>3034</v>
      </c>
      <c r="F54" s="197">
        <v>3029</v>
      </c>
      <c r="G54" s="197">
        <v>3027</v>
      </c>
      <c r="H54" s="197">
        <v>3028</v>
      </c>
      <c r="I54" s="197">
        <v>3026</v>
      </c>
      <c r="J54" s="197">
        <v>3032</v>
      </c>
      <c r="K54" s="197">
        <v>3030</v>
      </c>
      <c r="L54" s="197">
        <v>3024</v>
      </c>
      <c r="M54" s="197">
        <v>3021</v>
      </c>
      <c r="N54" s="197">
        <v>3020</v>
      </c>
      <c r="O54" s="197">
        <v>3028</v>
      </c>
      <c r="P54" s="197">
        <v>3033</v>
      </c>
      <c r="Q54" s="197">
        <v>3022</v>
      </c>
      <c r="R54" s="211">
        <v>3021</v>
      </c>
      <c r="S54" s="104">
        <f>ROUND(AVERAGE(G54:R54),0)</f>
        <v>3026</v>
      </c>
    </row>
    <row r="55" spans="2:19" x14ac:dyDescent="0.25">
      <c r="B55" s="91"/>
      <c r="C55" s="97"/>
      <c r="D55" s="97"/>
      <c r="E55" s="97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209"/>
      <c r="S55" s="98"/>
    </row>
    <row r="56" spans="2:19" x14ac:dyDescent="0.25">
      <c r="B56" s="91" t="s">
        <v>24</v>
      </c>
      <c r="C56" s="97">
        <f>C51*1000/C54</f>
        <v>2025.0330250990753</v>
      </c>
      <c r="D56" s="97">
        <f t="shared" ref="D56:R56" si="10">D51*1000/D54</f>
        <v>2127.3698449356648</v>
      </c>
      <c r="E56" s="97">
        <f t="shared" si="10"/>
        <v>2654.5280158206988</v>
      </c>
      <c r="F56" s="195">
        <f t="shared" si="10"/>
        <v>2849.1815780785737</v>
      </c>
      <c r="G56" s="195">
        <f t="shared" si="10"/>
        <v>3069.7618103733071</v>
      </c>
      <c r="H56" s="195">
        <f t="shared" si="10"/>
        <v>2836.4250330250989</v>
      </c>
      <c r="I56" s="195">
        <f t="shared" si="10"/>
        <v>2031.0353602115003</v>
      </c>
      <c r="J56" s="195">
        <f t="shared" si="10"/>
        <v>1693.2285620052771</v>
      </c>
      <c r="K56" s="195">
        <f t="shared" si="10"/>
        <v>1861.816501650165</v>
      </c>
      <c r="L56" s="195">
        <f t="shared" si="10"/>
        <v>2295.2771164021165</v>
      </c>
      <c r="M56" s="195">
        <f t="shared" si="10"/>
        <v>2402.2896391923205</v>
      </c>
      <c r="N56" s="195">
        <f t="shared" si="10"/>
        <v>2499.4533112582781</v>
      </c>
      <c r="O56" s="195">
        <f t="shared" si="10"/>
        <v>1942.6287978863936</v>
      </c>
      <c r="P56" s="195">
        <f t="shared" si="10"/>
        <v>2217.6396307286514</v>
      </c>
      <c r="Q56" s="195">
        <f t="shared" si="10"/>
        <v>2474.5863666446062</v>
      </c>
      <c r="R56" s="209">
        <f t="shared" si="10"/>
        <v>2727.3376365441904</v>
      </c>
      <c r="S56" s="98">
        <f>SUM(G56:R56)</f>
        <v>28051.479765921908</v>
      </c>
    </row>
    <row r="57" spans="2:19" x14ac:dyDescent="0.25">
      <c r="B57" s="102" t="s">
        <v>25</v>
      </c>
      <c r="C57" s="103">
        <f>C56*LTOutput!AA13</f>
        <v>1885.4699243859282</v>
      </c>
      <c r="D57" s="103">
        <f>D56*LTOutput!AB13</f>
        <v>1901.5099146334226</v>
      </c>
      <c r="E57" s="103">
        <f>E56*LTOutput!AC13</f>
        <v>2544.3314510040768</v>
      </c>
      <c r="F57" s="197">
        <f>F56*LTOutput!AD13</f>
        <v>2968.0832756744753</v>
      </c>
      <c r="G57" s="197">
        <f>G56*LTOutput!AE13</f>
        <v>3144.4480074146131</v>
      </c>
      <c r="H57" s="197">
        <f>H56*LTOutput!AF13</f>
        <v>2728.3218450507948</v>
      </c>
      <c r="I57" s="197">
        <f>I56*LTOutput!AG13</f>
        <v>2009.3114579628298</v>
      </c>
      <c r="J57" s="197">
        <f>J56*LTOutput!AH13</f>
        <v>1717.9050014725997</v>
      </c>
      <c r="K57" s="197">
        <f>K56*LTOutput!AI13</f>
        <v>1866.115138405364</v>
      </c>
      <c r="L57" s="197">
        <f>L56*LTOutput!AJ13</f>
        <v>2358.2276160482706</v>
      </c>
      <c r="M57" s="197">
        <f>M56*LTOutput!AK13</f>
        <v>2451.585003352739</v>
      </c>
      <c r="N57" s="197">
        <f>N56*LTOutput!AL13</f>
        <v>2361.5511577508905</v>
      </c>
      <c r="O57" s="197">
        <v>1885.4699243859282</v>
      </c>
      <c r="P57" s="197">
        <v>1901.5099146334226</v>
      </c>
      <c r="Q57" s="197">
        <v>2544.3314510040768</v>
      </c>
      <c r="R57" s="211">
        <v>2968.0832756744753</v>
      </c>
      <c r="S57" s="104">
        <f>SUM(G57:R57)</f>
        <v>27936.859793156003</v>
      </c>
    </row>
    <row r="58" spans="2:19" x14ac:dyDescent="0.25">
      <c r="B58" s="91"/>
      <c r="C58" s="97"/>
      <c r="D58" s="97"/>
      <c r="E58" s="97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209"/>
      <c r="S58" s="98"/>
    </row>
    <row r="59" spans="2:19" x14ac:dyDescent="0.25">
      <c r="B59" s="105" t="s">
        <v>26</v>
      </c>
      <c r="C59" s="106">
        <f>C57*$R54/1000</f>
        <v>5696.0046415698889</v>
      </c>
      <c r="D59" s="106">
        <f t="shared" ref="D59:R59" si="11">D57*$R54/1000</f>
        <v>5744.4614521075691</v>
      </c>
      <c r="E59" s="106">
        <f t="shared" si="11"/>
        <v>7686.4253134833161</v>
      </c>
      <c r="F59" s="198">
        <f t="shared" si="11"/>
        <v>8966.5795758125896</v>
      </c>
      <c r="G59" s="198">
        <f t="shared" si="11"/>
        <v>9499.3774303995469</v>
      </c>
      <c r="H59" s="198">
        <f t="shared" si="11"/>
        <v>8242.260293898451</v>
      </c>
      <c r="I59" s="198">
        <f t="shared" si="11"/>
        <v>6070.1299145057092</v>
      </c>
      <c r="J59" s="198">
        <f t="shared" si="11"/>
        <v>5189.7910094487243</v>
      </c>
      <c r="K59" s="198">
        <f t="shared" si="11"/>
        <v>5637.5338331226048</v>
      </c>
      <c r="L59" s="198">
        <f t="shared" si="11"/>
        <v>7124.2056280818251</v>
      </c>
      <c r="M59" s="198">
        <f t="shared" si="11"/>
        <v>7406.2382951286245</v>
      </c>
      <c r="N59" s="198">
        <f t="shared" si="11"/>
        <v>7134.2460475654407</v>
      </c>
      <c r="O59" s="198">
        <f t="shared" si="11"/>
        <v>5696.0046415698889</v>
      </c>
      <c r="P59" s="198">
        <f t="shared" si="11"/>
        <v>5744.4614521075691</v>
      </c>
      <c r="Q59" s="198">
        <f t="shared" si="11"/>
        <v>7686.4253134833161</v>
      </c>
      <c r="R59" s="212">
        <f t="shared" si="11"/>
        <v>8966.5795758125896</v>
      </c>
      <c r="S59" s="107">
        <f>SUM(G59:R59)</f>
        <v>84397.253435124279</v>
      </c>
    </row>
    <row r="60" spans="2:19" ht="15.75" thickBot="1" x14ac:dyDescent="0.3">
      <c r="B60" s="108"/>
      <c r="C60" s="109"/>
      <c r="D60" s="109"/>
      <c r="E60" s="10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213"/>
      <c r="S60" s="110"/>
    </row>
    <row r="61" spans="2:19" ht="15.75" thickTop="1" x14ac:dyDescent="0.25">
      <c r="B61" s="91"/>
      <c r="C61" s="111"/>
      <c r="D61" s="111"/>
      <c r="E61" s="111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14"/>
      <c r="S61" s="112"/>
    </row>
    <row r="62" spans="2:19" x14ac:dyDescent="0.25">
      <c r="B62" s="94" t="s">
        <v>30</v>
      </c>
      <c r="C62" s="113"/>
      <c r="D62" s="113"/>
      <c r="E62" s="113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15"/>
      <c r="S62" s="114"/>
    </row>
    <row r="63" spans="2:19" x14ac:dyDescent="0.25">
      <c r="B63" s="91" t="s">
        <v>21</v>
      </c>
      <c r="C63" s="97">
        <v>29477.232</v>
      </c>
      <c r="D63" s="97">
        <v>28412.745999999999</v>
      </c>
      <c r="E63" s="97">
        <v>31630.651000000002</v>
      </c>
      <c r="F63" s="195">
        <v>32306.982</v>
      </c>
      <c r="G63" s="195">
        <v>32133.822</v>
      </c>
      <c r="H63" s="195">
        <v>31398.583999999999</v>
      </c>
      <c r="I63" s="195">
        <v>26840.133000000002</v>
      </c>
      <c r="J63" s="195">
        <v>24350.173999999999</v>
      </c>
      <c r="K63" s="195">
        <v>25931.735000000001</v>
      </c>
      <c r="L63" s="195">
        <v>30368.976999999999</v>
      </c>
      <c r="M63" s="195">
        <v>32091.413</v>
      </c>
      <c r="N63" s="195">
        <v>31991.752</v>
      </c>
      <c r="O63" s="195">
        <v>27510.097000000002</v>
      </c>
      <c r="P63" s="195">
        <v>26663.458999999999</v>
      </c>
      <c r="Q63" s="195">
        <v>31244.262999999999</v>
      </c>
      <c r="R63" s="209">
        <v>30892.608</v>
      </c>
      <c r="S63" s="98">
        <f>SUM(G63:R63)</f>
        <v>351417.01699999993</v>
      </c>
    </row>
    <row r="64" spans="2:19" x14ac:dyDescent="0.25">
      <c r="B64" s="99" t="s">
        <v>22</v>
      </c>
      <c r="C64" s="100">
        <f>C69*C66/1000</f>
        <v>27984.166030703109</v>
      </c>
      <c r="D64" s="100">
        <f t="shared" ref="D64:R64" si="12">D69*D66/1000</f>
        <v>26421.799058982793</v>
      </c>
      <c r="E64" s="100">
        <f t="shared" si="12"/>
        <v>30683.685735945714</v>
      </c>
      <c r="F64" s="196">
        <f>F69*F66/1000</f>
        <v>33355.924876641518</v>
      </c>
      <c r="G64" s="196">
        <f t="shared" si="12"/>
        <v>32780.805195262386</v>
      </c>
      <c r="H64" s="196">
        <f t="shared" si="12"/>
        <v>30453.034396080791</v>
      </c>
      <c r="I64" s="196">
        <f t="shared" si="12"/>
        <v>26639.797859087492</v>
      </c>
      <c r="J64" s="196">
        <f t="shared" si="12"/>
        <v>24490.584479590743</v>
      </c>
      <c r="K64" s="196">
        <f t="shared" si="12"/>
        <v>25939.39495809369</v>
      </c>
      <c r="L64" s="196">
        <f t="shared" si="12"/>
        <v>31026.334457981935</v>
      </c>
      <c r="M64" s="196">
        <f t="shared" si="12"/>
        <v>32609.534547319632</v>
      </c>
      <c r="N64" s="196">
        <f t="shared" si="12"/>
        <v>30580.691795558312</v>
      </c>
      <c r="O64" s="196">
        <f t="shared" si="12"/>
        <v>28103.24758828057</v>
      </c>
      <c r="P64" s="196">
        <f t="shared" si="12"/>
        <v>26421.799058982793</v>
      </c>
      <c r="Q64" s="196">
        <f t="shared" si="12"/>
        <v>30521.509807108789</v>
      </c>
      <c r="R64" s="210">
        <f t="shared" si="12"/>
        <v>33074.143040302413</v>
      </c>
      <c r="S64" s="101">
        <f>SUM(G64:R64)</f>
        <v>352640.87718364957</v>
      </c>
    </row>
    <row r="65" spans="2:22" x14ac:dyDescent="0.25">
      <c r="B65" s="91"/>
      <c r="C65" s="97"/>
      <c r="D65" s="97"/>
      <c r="E65" s="97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209"/>
      <c r="S65" s="98"/>
    </row>
    <row r="66" spans="2:22" x14ac:dyDescent="0.25">
      <c r="B66" s="102" t="s">
        <v>23</v>
      </c>
      <c r="C66" s="103">
        <v>940</v>
      </c>
      <c r="D66" s="103">
        <v>943</v>
      </c>
      <c r="E66" s="103">
        <v>946</v>
      </c>
      <c r="F66" s="197">
        <v>947</v>
      </c>
      <c r="G66" s="197">
        <v>946</v>
      </c>
      <c r="H66" s="197">
        <v>946</v>
      </c>
      <c r="I66" s="197">
        <v>946</v>
      </c>
      <c r="J66" s="197">
        <v>945</v>
      </c>
      <c r="K66" s="197">
        <v>943</v>
      </c>
      <c r="L66" s="197">
        <v>946</v>
      </c>
      <c r="M66" s="197">
        <v>946</v>
      </c>
      <c r="N66" s="197">
        <v>945</v>
      </c>
      <c r="O66" s="197">
        <v>944</v>
      </c>
      <c r="P66" s="197">
        <v>943</v>
      </c>
      <c r="Q66" s="197">
        <v>941</v>
      </c>
      <c r="R66" s="211">
        <v>939</v>
      </c>
      <c r="S66" s="104">
        <f>ROUND(AVERAGE(G66:R66),0)</f>
        <v>944</v>
      </c>
    </row>
    <row r="67" spans="2:22" x14ac:dyDescent="0.25">
      <c r="B67" s="91"/>
      <c r="C67" s="97"/>
      <c r="D67" s="97"/>
      <c r="E67" s="97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209"/>
      <c r="S67" s="98"/>
    </row>
    <row r="68" spans="2:22" x14ac:dyDescent="0.25">
      <c r="B68" s="91" t="s">
        <v>24</v>
      </c>
      <c r="C68" s="97">
        <f>C63*1000/C66</f>
        <v>31358.757446808511</v>
      </c>
      <c r="D68" s="97">
        <f t="shared" ref="D68:R68" si="13">D63*1000/D66</f>
        <v>30130.165429480381</v>
      </c>
      <c r="E68" s="97">
        <f t="shared" si="13"/>
        <v>33436.206131078223</v>
      </c>
      <c r="F68" s="195">
        <f t="shared" si="13"/>
        <v>34115.081309398098</v>
      </c>
      <c r="G68" s="195">
        <f t="shared" si="13"/>
        <v>33968.099365750531</v>
      </c>
      <c r="H68" s="195">
        <f t="shared" si="13"/>
        <v>33190.892177589849</v>
      </c>
      <c r="I68" s="195">
        <f t="shared" si="13"/>
        <v>28372.233615221987</v>
      </c>
      <c r="J68" s="195">
        <f t="shared" si="13"/>
        <v>25767.379894179896</v>
      </c>
      <c r="K68" s="195">
        <f t="shared" si="13"/>
        <v>27499.188759278899</v>
      </c>
      <c r="L68" s="195">
        <f t="shared" si="13"/>
        <v>32102.51268498943</v>
      </c>
      <c r="M68" s="195">
        <f t="shared" si="13"/>
        <v>33923.269556025371</v>
      </c>
      <c r="N68" s="195">
        <f t="shared" si="13"/>
        <v>33853.705820105817</v>
      </c>
      <c r="O68" s="195">
        <f t="shared" si="13"/>
        <v>29142.051906779659</v>
      </c>
      <c r="P68" s="195">
        <f t="shared" si="13"/>
        <v>28275.142099681867</v>
      </c>
      <c r="Q68" s="195">
        <f t="shared" si="13"/>
        <v>33203.255047821469</v>
      </c>
      <c r="R68" s="209">
        <f t="shared" si="13"/>
        <v>32899.47603833866</v>
      </c>
      <c r="S68" s="98">
        <f>SUM(G68:R68)</f>
        <v>372197.20696576341</v>
      </c>
    </row>
    <row r="69" spans="2:22" x14ac:dyDescent="0.25">
      <c r="B69" s="102" t="s">
        <v>25</v>
      </c>
      <c r="C69" s="103">
        <f>C68*LTOutput!AA14</f>
        <v>29770.389394365011</v>
      </c>
      <c r="D69" s="103">
        <f>D68*LTOutput!AB14</f>
        <v>28018.874929992358</v>
      </c>
      <c r="E69" s="103">
        <f>E68*LTOutput!AC14</f>
        <v>32435.185767384475</v>
      </c>
      <c r="F69" s="197">
        <f>F68*LTOutput!AD14</f>
        <v>35222.729542388086</v>
      </c>
      <c r="G69" s="197">
        <f>G68*LTOutput!AE14</f>
        <v>34652.013948480322</v>
      </c>
      <c r="H69" s="197">
        <f>H68*LTOutput!AF14</f>
        <v>32191.368283383501</v>
      </c>
      <c r="I69" s="197">
        <f>I68*LTOutput!AG14</f>
        <v>28160.462853158027</v>
      </c>
      <c r="J69" s="197">
        <f>J68*LTOutput!AH14</f>
        <v>25915.962412265337</v>
      </c>
      <c r="K69" s="197">
        <f>K68*LTOutput!AI14</f>
        <v>27507.311726504442</v>
      </c>
      <c r="L69" s="197">
        <f>L68*LTOutput!AJ14</f>
        <v>32797.393718796971</v>
      </c>
      <c r="M69" s="197">
        <f>M68*LTOutput!AK14</f>
        <v>34470.966751923501</v>
      </c>
      <c r="N69" s="197">
        <f>N68*LTOutput!AL14</f>
        <v>32360.520418580225</v>
      </c>
      <c r="O69" s="197">
        <v>29770.389394365011</v>
      </c>
      <c r="P69" s="197">
        <v>28018.874929992358</v>
      </c>
      <c r="Q69" s="197">
        <v>32435.185767384475</v>
      </c>
      <c r="R69" s="211">
        <v>35222.729542388086</v>
      </c>
      <c r="S69" s="104">
        <f>SUM(G69:R69)</f>
        <v>373503.17974722222</v>
      </c>
    </row>
    <row r="70" spans="2:22" x14ac:dyDescent="0.25">
      <c r="B70" s="91"/>
      <c r="C70" s="97"/>
      <c r="D70" s="97"/>
      <c r="E70" s="97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209"/>
      <c r="S70" s="98"/>
    </row>
    <row r="71" spans="2:22" x14ac:dyDescent="0.25">
      <c r="B71" s="105" t="s">
        <v>26</v>
      </c>
      <c r="C71" s="106">
        <f>C69*$R66/1000</f>
        <v>27954.395641308744</v>
      </c>
      <c r="D71" s="106">
        <f t="shared" ref="D71:R71" si="14">D69*$R66/1000</f>
        <v>26309.723559262824</v>
      </c>
      <c r="E71" s="106">
        <f t="shared" si="14"/>
        <v>30456.639435574019</v>
      </c>
      <c r="F71" s="198">
        <f t="shared" si="14"/>
        <v>33074.143040302413</v>
      </c>
      <c r="G71" s="198">
        <f t="shared" si="14"/>
        <v>32538.241097623024</v>
      </c>
      <c r="H71" s="198">
        <f t="shared" si="14"/>
        <v>30227.694818097109</v>
      </c>
      <c r="I71" s="198">
        <f t="shared" si="14"/>
        <v>26442.674619115387</v>
      </c>
      <c r="J71" s="198">
        <f t="shared" si="14"/>
        <v>24335.088705117152</v>
      </c>
      <c r="K71" s="198">
        <f t="shared" si="14"/>
        <v>25829.365711187671</v>
      </c>
      <c r="L71" s="198">
        <f t="shared" si="14"/>
        <v>30796.752701950358</v>
      </c>
      <c r="M71" s="198">
        <f t="shared" si="14"/>
        <v>32368.237780056166</v>
      </c>
      <c r="N71" s="198">
        <f t="shared" si="14"/>
        <v>30386.528673046832</v>
      </c>
      <c r="O71" s="198">
        <f t="shared" si="14"/>
        <v>27954.395641308744</v>
      </c>
      <c r="P71" s="198">
        <f t="shared" si="14"/>
        <v>26309.723559262824</v>
      </c>
      <c r="Q71" s="198">
        <f t="shared" si="14"/>
        <v>30456.639435574019</v>
      </c>
      <c r="R71" s="212">
        <f t="shared" si="14"/>
        <v>33074.143040302413</v>
      </c>
      <c r="S71" s="107">
        <f>SUM(G71:R71)</f>
        <v>350719.48578264168</v>
      </c>
    </row>
    <row r="72" spans="2:22" ht="15.75" thickBot="1" x14ac:dyDescent="0.3">
      <c r="B72" s="108"/>
      <c r="C72" s="109"/>
      <c r="D72" s="109"/>
      <c r="E72" s="10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213"/>
      <c r="S72" s="110"/>
    </row>
    <row r="73" spans="2:22" ht="15.75" thickTop="1" x14ac:dyDescent="0.25">
      <c r="B73" s="91"/>
      <c r="C73" s="111"/>
      <c r="D73" s="111"/>
      <c r="E73" s="111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14"/>
      <c r="S73" s="112"/>
    </row>
    <row r="74" spans="2:22" x14ac:dyDescent="0.25">
      <c r="B74" s="94" t="s">
        <v>19</v>
      </c>
      <c r="C74" s="113"/>
      <c r="D74" s="113"/>
      <c r="E74" s="113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15"/>
      <c r="S74" s="114"/>
    </row>
    <row r="75" spans="2:22" x14ac:dyDescent="0.25">
      <c r="B75" s="91" t="s">
        <v>21</v>
      </c>
      <c r="C75" s="97">
        <f>C15+C27+C39+C51+C63</f>
        <v>256428.35899999997</v>
      </c>
      <c r="D75" s="97">
        <f t="shared" ref="D75:N76" si="15">D15+D27+D39+D51+D63</f>
        <v>248046.74400000001</v>
      </c>
      <c r="E75" s="97">
        <f t="shared" si="15"/>
        <v>289179.804</v>
      </c>
      <c r="F75" s="195">
        <f t="shared" si="15"/>
        <v>302303.58199999999</v>
      </c>
      <c r="G75" s="195">
        <f t="shared" si="15"/>
        <v>316418.50799999997</v>
      </c>
      <c r="H75" s="195">
        <f t="shared" si="15"/>
        <v>310683.272</v>
      </c>
      <c r="I75" s="195">
        <f t="shared" si="15"/>
        <v>232050.69899999999</v>
      </c>
      <c r="J75" s="195">
        <f t="shared" si="15"/>
        <v>205524.78400000001</v>
      </c>
      <c r="K75" s="195">
        <f t="shared" si="15"/>
        <v>230685.62599999999</v>
      </c>
      <c r="L75" s="195">
        <f t="shared" si="15"/>
        <v>293363.03500000003</v>
      </c>
      <c r="M75" s="195">
        <f t="shared" si="15"/>
        <v>310469.67799999996</v>
      </c>
      <c r="N75" s="195">
        <f t="shared" si="15"/>
        <v>313856.78199999995</v>
      </c>
      <c r="O75" s="195">
        <f t="shared" ref="O75:R75" si="16">O15+O27+O39+O51+O63</f>
        <v>247342.64499999999</v>
      </c>
      <c r="P75" s="195">
        <f t="shared" si="16"/>
        <v>244017.62900000002</v>
      </c>
      <c r="Q75" s="195">
        <f t="shared" si="16"/>
        <v>286161.45099999994</v>
      </c>
      <c r="R75" s="209">
        <f t="shared" si="16"/>
        <v>300948.94300000003</v>
      </c>
      <c r="S75" s="98">
        <f>SUM(G75:R75)</f>
        <v>3291523.0520000001</v>
      </c>
    </row>
    <row r="76" spans="2:22" x14ac:dyDescent="0.25">
      <c r="B76" s="116" t="s">
        <v>22</v>
      </c>
      <c r="C76" s="117">
        <f>C16+C28+C40+C52+C64</f>
        <v>234746.82548202408</v>
      </c>
      <c r="D76" s="117">
        <f t="shared" si="15"/>
        <v>226134.50068486697</v>
      </c>
      <c r="E76" s="117">
        <f t="shared" si="15"/>
        <v>279002.10537679703</v>
      </c>
      <c r="F76" s="202">
        <f t="shared" si="15"/>
        <v>312701.74536799378</v>
      </c>
      <c r="G76" s="202">
        <f t="shared" si="15"/>
        <v>323343.60511490336</v>
      </c>
      <c r="H76" s="202">
        <f t="shared" si="15"/>
        <v>300448.25935138646</v>
      </c>
      <c r="I76" s="202">
        <f t="shared" si="15"/>
        <v>229956.77742666236</v>
      </c>
      <c r="J76" s="202">
        <f t="shared" si="15"/>
        <v>207829.45763285059</v>
      </c>
      <c r="K76" s="202">
        <f t="shared" si="15"/>
        <v>231340.12931405293</v>
      </c>
      <c r="L76" s="202">
        <f t="shared" si="15"/>
        <v>304148.42178227246</v>
      </c>
      <c r="M76" s="202">
        <f t="shared" si="15"/>
        <v>318871.48725088791</v>
      </c>
      <c r="N76" s="202">
        <f t="shared" si="15"/>
        <v>292864.30097658373</v>
      </c>
      <c r="O76" s="202">
        <f t="shared" ref="O76:R76" si="17">O16+O28+O40+O52+O64</f>
        <v>236738.784496137</v>
      </c>
      <c r="P76" s="202">
        <f t="shared" si="17"/>
        <v>227715.90556520195</v>
      </c>
      <c r="Q76" s="202">
        <f t="shared" si="17"/>
        <v>281131.34849062969</v>
      </c>
      <c r="R76" s="216">
        <f t="shared" si="17"/>
        <v>314784.7428247116</v>
      </c>
      <c r="S76" s="118">
        <f>SUM(G76:R76)</f>
        <v>3269173.2202262795</v>
      </c>
      <c r="T76" s="80"/>
      <c r="U76" s="119"/>
    </row>
    <row r="77" spans="2:22" x14ac:dyDescent="0.25">
      <c r="B77" s="91"/>
      <c r="C77" s="97"/>
      <c r="D77" s="97"/>
      <c r="E77" s="97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209"/>
      <c r="S77" s="98"/>
      <c r="U77" s="119"/>
    </row>
    <row r="78" spans="2:22" x14ac:dyDescent="0.25">
      <c r="B78" s="102" t="s">
        <v>23</v>
      </c>
      <c r="C78" s="103">
        <f>C18+C30+C42+C54+C66</f>
        <v>153560</v>
      </c>
      <c r="D78" s="103">
        <f t="shared" ref="D78:N78" si="18">D18+D30+D42+D54+D66</f>
        <v>154207</v>
      </c>
      <c r="E78" s="103">
        <f t="shared" si="18"/>
        <v>154462</v>
      </c>
      <c r="F78" s="197">
        <f t="shared" si="18"/>
        <v>154600</v>
      </c>
      <c r="G78" s="197">
        <f t="shared" si="18"/>
        <v>154676</v>
      </c>
      <c r="H78" s="197">
        <f t="shared" si="18"/>
        <v>154719</v>
      </c>
      <c r="I78" s="197">
        <f t="shared" si="18"/>
        <v>154612</v>
      </c>
      <c r="J78" s="197">
        <f t="shared" si="18"/>
        <v>154568</v>
      </c>
      <c r="K78" s="197">
        <f t="shared" si="18"/>
        <v>154823</v>
      </c>
      <c r="L78" s="197">
        <f t="shared" si="18"/>
        <v>154756</v>
      </c>
      <c r="M78" s="197">
        <f t="shared" si="18"/>
        <v>155074</v>
      </c>
      <c r="N78" s="197">
        <f t="shared" si="18"/>
        <v>155125</v>
      </c>
      <c r="O78" s="197">
        <f t="shared" ref="O78:R78" si="19">O18+O30+O42+O54+O66</f>
        <v>155301</v>
      </c>
      <c r="P78" s="197">
        <f t="shared" si="19"/>
        <v>155740</v>
      </c>
      <c r="Q78" s="197">
        <f t="shared" si="19"/>
        <v>155910</v>
      </c>
      <c r="R78" s="211">
        <f t="shared" si="19"/>
        <v>156016</v>
      </c>
      <c r="S78" s="104">
        <f>AVERAGE(G78:R78)</f>
        <v>155110</v>
      </c>
      <c r="U78" s="119"/>
      <c r="V78" s="120"/>
    </row>
    <row r="79" spans="2:22" x14ac:dyDescent="0.25">
      <c r="B79" s="121"/>
      <c r="C79" s="122"/>
      <c r="D79" s="122"/>
      <c r="E79" s="122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17"/>
      <c r="S79" s="123"/>
      <c r="U79" s="119"/>
    </row>
    <row r="80" spans="2:22" x14ac:dyDescent="0.25">
      <c r="B80" s="91" t="s">
        <v>24</v>
      </c>
      <c r="C80" s="97">
        <f t="shared" ref="C80:N80" si="20">C75*1000/C78</f>
        <v>1669.8903295128937</v>
      </c>
      <c r="D80" s="97">
        <f t="shared" si="20"/>
        <v>1608.5310264773973</v>
      </c>
      <c r="E80" s="97">
        <f t="shared" si="20"/>
        <v>1872.1744118294466</v>
      </c>
      <c r="F80" s="195">
        <f t="shared" si="20"/>
        <v>1955.3918628719275</v>
      </c>
      <c r="G80" s="195">
        <f t="shared" si="20"/>
        <v>2045.6858724042515</v>
      </c>
      <c r="H80" s="195">
        <f t="shared" si="20"/>
        <v>2008.0486042438226</v>
      </c>
      <c r="I80" s="195">
        <f t="shared" si="20"/>
        <v>1500.8582710268286</v>
      </c>
      <c r="J80" s="195">
        <f t="shared" si="20"/>
        <v>1329.672273691838</v>
      </c>
      <c r="K80" s="195">
        <f t="shared" si="20"/>
        <v>1489.9958404113083</v>
      </c>
      <c r="L80" s="195">
        <f t="shared" si="20"/>
        <v>1895.6488601411259</v>
      </c>
      <c r="M80" s="195">
        <f t="shared" si="20"/>
        <v>2002.0743515998809</v>
      </c>
      <c r="N80" s="195">
        <f t="shared" si="20"/>
        <v>2023.2508106365831</v>
      </c>
      <c r="O80" s="195">
        <f t="shared" ref="O80:R80" si="21">O75*1000/O78</f>
        <v>1592.6661450988724</v>
      </c>
      <c r="P80" s="195">
        <f t="shared" si="21"/>
        <v>1566.8269487607554</v>
      </c>
      <c r="Q80" s="195">
        <f t="shared" si="21"/>
        <v>1835.4271759348337</v>
      </c>
      <c r="R80" s="209">
        <f t="shared" si="21"/>
        <v>1928.9620487642294</v>
      </c>
      <c r="S80" s="98">
        <f>SUM(G80:R80)</f>
        <v>21219.117202714326</v>
      </c>
      <c r="U80" s="124"/>
    </row>
    <row r="81" spans="2:21" x14ac:dyDescent="0.25">
      <c r="B81" s="102" t="s">
        <v>25</v>
      </c>
      <c r="C81" s="103">
        <f t="shared" ref="C81:N81" si="22">C76*1000/C78</f>
        <v>1528.6977434359474</v>
      </c>
      <c r="D81" s="103">
        <f t="shared" si="22"/>
        <v>1466.4347317882259</v>
      </c>
      <c r="E81" s="103">
        <f t="shared" si="22"/>
        <v>1806.2831335655178</v>
      </c>
      <c r="F81" s="197">
        <f t="shared" si="22"/>
        <v>2022.6503581370878</v>
      </c>
      <c r="G81" s="197">
        <f t="shared" si="22"/>
        <v>2090.4575054624074</v>
      </c>
      <c r="H81" s="197">
        <f t="shared" si="22"/>
        <v>1941.896336916516</v>
      </c>
      <c r="I81" s="197">
        <f t="shared" si="22"/>
        <v>1487.3151982165832</v>
      </c>
      <c r="J81" s="197">
        <f t="shared" si="22"/>
        <v>1344.5826926197569</v>
      </c>
      <c r="K81" s="197">
        <f t="shared" si="22"/>
        <v>1494.2232698891828</v>
      </c>
      <c r="L81" s="197">
        <f t="shared" si="22"/>
        <v>1965.3417107076459</v>
      </c>
      <c r="M81" s="197">
        <f t="shared" si="22"/>
        <v>2056.2537063007849</v>
      </c>
      <c r="N81" s="197">
        <f t="shared" si="22"/>
        <v>1887.9245832495324</v>
      </c>
      <c r="O81" s="197">
        <f t="shared" ref="O81:R81" si="23">O76*1000/O78</f>
        <v>1524.3867360553827</v>
      </c>
      <c r="P81" s="197">
        <f t="shared" si="23"/>
        <v>1462.1542671452546</v>
      </c>
      <c r="Q81" s="197">
        <f t="shared" si="23"/>
        <v>1803.1643158914096</v>
      </c>
      <c r="R81" s="211">
        <f t="shared" si="23"/>
        <v>2017.6439776991567</v>
      </c>
      <c r="S81" s="104">
        <f>SUM(G81:R81)</f>
        <v>21075.344300153611</v>
      </c>
    </row>
    <row r="82" spans="2:21" x14ac:dyDescent="0.25">
      <c r="B82" s="91"/>
      <c r="C82" s="97"/>
      <c r="D82" s="97"/>
      <c r="E82" s="97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209"/>
      <c r="S82" s="98"/>
    </row>
    <row r="83" spans="2:21" ht="15.75" thickBot="1" x14ac:dyDescent="0.3">
      <c r="B83" s="125" t="s">
        <v>26</v>
      </c>
      <c r="C83" s="126">
        <f>C23+C35+C47+C59+C71</f>
        <v>237319.79110627819</v>
      </c>
      <c r="D83" s="126">
        <f t="shared" ref="D83:R83" si="24">D23+D35+D47+D59+D71</f>
        <v>227820.96909703963</v>
      </c>
      <c r="E83" s="126">
        <f t="shared" si="24"/>
        <v>280977.59769281396</v>
      </c>
      <c r="F83" s="204">
        <f t="shared" si="24"/>
        <v>314784.7428247116</v>
      </c>
      <c r="G83" s="204">
        <f t="shared" si="24"/>
        <v>325317.543798058</v>
      </c>
      <c r="H83" s="204">
        <f t="shared" si="24"/>
        <v>302173.24326176255</v>
      </c>
      <c r="I83" s="204">
        <f t="shared" si="24"/>
        <v>231237.46183368276</v>
      </c>
      <c r="J83" s="204">
        <f t="shared" si="24"/>
        <v>209019.30050789277</v>
      </c>
      <c r="K83" s="204">
        <f t="shared" si="24"/>
        <v>232598.19774460839</v>
      </c>
      <c r="L83" s="204">
        <f t="shared" si="24"/>
        <v>305762.28483004763</v>
      </c>
      <c r="M83" s="204">
        <f t="shared" si="24"/>
        <v>320018.06269312941</v>
      </c>
      <c r="N83" s="204">
        <f t="shared" si="24"/>
        <v>293790.01720813155</v>
      </c>
      <c r="O83" s="204">
        <f t="shared" si="24"/>
        <v>237319.79110627819</v>
      </c>
      <c r="P83" s="204">
        <f t="shared" si="24"/>
        <v>227820.96909703963</v>
      </c>
      <c r="Q83" s="204">
        <f t="shared" si="24"/>
        <v>280977.59769281396</v>
      </c>
      <c r="R83" s="218">
        <f t="shared" si="24"/>
        <v>314784.7428247116</v>
      </c>
      <c r="S83" s="127">
        <f>SUM(G83:R83)</f>
        <v>3280819.2125981562</v>
      </c>
      <c r="U83" s="124"/>
    </row>
    <row r="84" spans="2:21" x14ac:dyDescent="0.25">
      <c r="U84" s="80"/>
    </row>
    <row r="85" spans="2:21" x14ac:dyDescent="0.25">
      <c r="S85" s="128"/>
    </row>
    <row r="86" spans="2:21" x14ac:dyDescent="0.25">
      <c r="S86" s="129"/>
      <c r="U86" s="124"/>
    </row>
    <row r="87" spans="2:21" x14ac:dyDescent="0.25">
      <c r="U87" s="80"/>
    </row>
  </sheetData>
  <mergeCells count="2">
    <mergeCell ref="C11:E11"/>
    <mergeCell ref="F11:Q11"/>
  </mergeCells>
  <pageMargins left="0.7" right="0.7" top="0.75" bottom="0.75" header="0.3" footer="0.3"/>
  <pageSetup scale="60" fitToHeight="2" orientation="landscape" r:id="rId1"/>
  <headerFooter>
    <oddFooter>Page &amp;P of &amp;N</oddFooter>
  </headerFooter>
  <rowBreaks count="1" manualBreakCount="1">
    <brk id="6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"/>
  <sheetViews>
    <sheetView topLeftCell="J1" zoomScaleNormal="100" zoomScaleSheetLayoutView="90" workbookViewId="0">
      <selection activeCell="AA10" sqref="AA10"/>
    </sheetView>
  </sheetViews>
  <sheetFormatPr defaultRowHeight="15" x14ac:dyDescent="0.25"/>
  <cols>
    <col min="1" max="1" width="45" style="130" bestFit="1" customWidth="1"/>
    <col min="2" max="2" width="13.140625" style="42" bestFit="1" customWidth="1"/>
    <col min="3" max="3" width="14" style="42" bestFit="1" customWidth="1"/>
    <col min="4" max="4" width="12.28515625" style="42" bestFit="1" customWidth="1"/>
    <col min="5" max="5" width="12.140625" style="42" bestFit="1" customWidth="1"/>
    <col min="6" max="6" width="13.140625" style="42" bestFit="1" customWidth="1"/>
    <col min="7" max="7" width="4" style="42" customWidth="1"/>
    <col min="8" max="8" width="15.140625" style="42" bestFit="1" customWidth="1"/>
    <col min="9" max="9" width="16" style="42" bestFit="1" customWidth="1"/>
    <col min="10" max="10" width="14.42578125" style="42" bestFit="1" customWidth="1"/>
    <col min="11" max="11" width="14.28515625" style="42" bestFit="1" customWidth="1"/>
    <col min="12" max="12" width="15.140625" style="42" bestFit="1" customWidth="1"/>
    <col min="13" max="13" width="7.42578125" style="42" customWidth="1"/>
    <col min="14" max="14" width="11.7109375" style="42" bestFit="1" customWidth="1"/>
    <col min="15" max="15" width="13.28515625" style="42" bestFit="1" customWidth="1"/>
    <col min="16" max="16" width="11.5703125" style="42" bestFit="1" customWidth="1"/>
    <col min="17" max="17" width="13.140625" style="42" bestFit="1" customWidth="1"/>
    <col min="18" max="18" width="6.7109375" style="131" customWidth="1"/>
    <col min="19" max="19" width="20.140625" style="42" customWidth="1"/>
    <col min="20" max="20" width="14" style="42" bestFit="1" customWidth="1"/>
    <col min="21" max="21" width="12.28515625" style="42" bestFit="1" customWidth="1"/>
    <col min="22" max="22" width="12.140625" style="42" bestFit="1" customWidth="1"/>
    <col min="23" max="23" width="15.28515625" style="42" customWidth="1"/>
    <col min="24" max="24" width="6.28515625" style="131" customWidth="1"/>
    <col min="25" max="25" width="8.28515625" style="42" customWidth="1"/>
    <col min="26" max="26" width="9" style="42" customWidth="1"/>
    <col min="27" max="27" width="7.85546875" style="42" customWidth="1"/>
    <col min="28" max="28" width="7.5703125" style="42" customWidth="1"/>
    <col min="29" max="29" width="7.42578125" style="42" customWidth="1"/>
    <col min="30" max="16384" width="9.140625" style="42"/>
  </cols>
  <sheetData>
    <row r="1" spans="1:65" x14ac:dyDescent="0.25">
      <c r="A1" s="42"/>
    </row>
    <row r="2" spans="1:65" x14ac:dyDescent="0.25">
      <c r="A2" s="42"/>
    </row>
    <row r="3" spans="1:65" x14ac:dyDescent="0.25">
      <c r="A3" s="42"/>
    </row>
    <row r="4" spans="1:65" x14ac:dyDescent="0.25">
      <c r="A4" s="61" t="s">
        <v>141</v>
      </c>
    </row>
    <row r="5" spans="1:65" x14ac:dyDescent="0.25">
      <c r="A5" s="61" t="s">
        <v>142</v>
      </c>
    </row>
    <row r="6" spans="1:65" x14ac:dyDescent="0.25">
      <c r="A6" s="61" t="s">
        <v>143</v>
      </c>
    </row>
    <row r="7" spans="1:65" x14ac:dyDescent="0.25">
      <c r="A7" s="61" t="s">
        <v>181</v>
      </c>
    </row>
    <row r="8" spans="1:65" customFormat="1" ht="18.75" x14ac:dyDescent="0.3">
      <c r="A8" s="167"/>
      <c r="B8" s="229" t="s">
        <v>31</v>
      </c>
      <c r="C8" s="229"/>
      <c r="D8" s="229"/>
      <c r="E8" s="229"/>
      <c r="F8" s="229"/>
      <c r="G8" s="168"/>
      <c r="H8" s="229" t="s">
        <v>190</v>
      </c>
      <c r="I8" s="229"/>
      <c r="J8" s="229"/>
      <c r="K8" s="229"/>
      <c r="L8" s="229"/>
      <c r="M8" s="168"/>
      <c r="N8" s="229" t="s">
        <v>33</v>
      </c>
      <c r="O8" s="229"/>
      <c r="P8" s="229"/>
      <c r="Q8" s="229"/>
      <c r="R8" s="229"/>
      <c r="S8" s="169"/>
      <c r="T8" s="229" t="s">
        <v>34</v>
      </c>
      <c r="U8" s="229"/>
      <c r="V8" s="229"/>
      <c r="W8" s="229"/>
      <c r="X8" s="229"/>
      <c r="Z8" s="86" t="s">
        <v>191</v>
      </c>
      <c r="AO8" s="170" t="s">
        <v>32</v>
      </c>
      <c r="AP8" s="170"/>
      <c r="AQ8" s="170"/>
      <c r="AR8" s="170"/>
      <c r="AS8" s="170"/>
      <c r="AT8" s="170"/>
      <c r="AW8" s="171" t="s">
        <v>192</v>
      </c>
    </row>
    <row r="9" spans="1:65" customFormat="1" x14ac:dyDescent="0.25">
      <c r="A9" s="167" t="s">
        <v>35</v>
      </c>
      <c r="B9" t="s">
        <v>36</v>
      </c>
      <c r="C9" t="s">
        <v>37</v>
      </c>
      <c r="D9" t="s">
        <v>38</v>
      </c>
      <c r="E9" t="s">
        <v>39</v>
      </c>
      <c r="F9" t="s">
        <v>40</v>
      </c>
      <c r="H9" t="s">
        <v>41</v>
      </c>
      <c r="I9" t="s">
        <v>42</v>
      </c>
      <c r="J9" t="s">
        <v>43</v>
      </c>
      <c r="K9" t="s">
        <v>44</v>
      </c>
      <c r="L9" t="s">
        <v>45</v>
      </c>
      <c r="N9" t="s">
        <v>46</v>
      </c>
      <c r="O9" t="s">
        <v>47</v>
      </c>
      <c r="P9" t="s">
        <v>48</v>
      </c>
      <c r="Q9" t="s">
        <v>49</v>
      </c>
      <c r="R9" s="169" t="s">
        <v>50</v>
      </c>
      <c r="S9" s="169"/>
      <c r="T9" s="169" t="s">
        <v>51</v>
      </c>
      <c r="U9" s="169" t="s">
        <v>52</v>
      </c>
      <c r="V9" s="169" t="s">
        <v>53</v>
      </c>
      <c r="W9" s="169" t="s">
        <v>54</v>
      </c>
      <c r="X9" s="169" t="s">
        <v>55</v>
      </c>
      <c r="Y9" s="169"/>
      <c r="Z9" s="169" t="s">
        <v>56</v>
      </c>
      <c r="AA9" s="169">
        <v>43374</v>
      </c>
      <c r="AB9" s="169">
        <v>43405</v>
      </c>
      <c r="AC9" s="169">
        <v>43435</v>
      </c>
      <c r="AD9">
        <v>43466</v>
      </c>
      <c r="AE9">
        <v>43497</v>
      </c>
      <c r="AF9" s="172">
        <v>43525</v>
      </c>
      <c r="AG9" s="172">
        <v>43556</v>
      </c>
      <c r="AH9" s="172">
        <v>43586</v>
      </c>
      <c r="AI9" s="172">
        <v>43617</v>
      </c>
      <c r="AJ9" s="172">
        <v>43647</v>
      </c>
      <c r="AK9" s="172">
        <v>43678</v>
      </c>
      <c r="AL9" s="172">
        <v>43709</v>
      </c>
      <c r="AM9" s="172"/>
      <c r="AN9" s="172"/>
      <c r="AO9" s="172" t="s">
        <v>193</v>
      </c>
      <c r="AP9" s="172" t="s">
        <v>194</v>
      </c>
      <c r="AQ9" s="172" t="s">
        <v>195</v>
      </c>
      <c r="AR9" t="s">
        <v>196</v>
      </c>
      <c r="AS9" t="s">
        <v>197</v>
      </c>
      <c r="AT9" t="s">
        <v>198</v>
      </c>
      <c r="AW9" t="s">
        <v>35</v>
      </c>
      <c r="AX9" t="s">
        <v>199</v>
      </c>
      <c r="AY9" t="s">
        <v>200</v>
      </c>
      <c r="AZ9" t="s">
        <v>201</v>
      </c>
      <c r="BA9" t="s">
        <v>202</v>
      </c>
      <c r="BB9" t="s">
        <v>203</v>
      </c>
      <c r="BC9" t="s">
        <v>204</v>
      </c>
      <c r="BD9" t="s">
        <v>205</v>
      </c>
      <c r="BE9" t="s">
        <v>206</v>
      </c>
      <c r="BF9" t="s">
        <v>207</v>
      </c>
      <c r="BG9" t="s">
        <v>208</v>
      </c>
      <c r="BH9" t="s">
        <v>209</v>
      </c>
      <c r="BI9" t="s">
        <v>210</v>
      </c>
      <c r="BJ9" t="s">
        <v>211</v>
      </c>
      <c r="BK9" t="s">
        <v>212</v>
      </c>
      <c r="BL9" t="s">
        <v>213</v>
      </c>
      <c r="BM9" t="s">
        <v>214</v>
      </c>
    </row>
    <row r="10" spans="1:65" customFormat="1" x14ac:dyDescent="0.25">
      <c r="A10" s="173">
        <v>43374</v>
      </c>
      <c r="B10" s="119">
        <v>858.72</v>
      </c>
      <c r="C10" s="119">
        <v>1472.6</v>
      </c>
      <c r="D10" s="119">
        <v>41206.19</v>
      </c>
      <c r="E10" s="119">
        <v>1976.09</v>
      </c>
      <c r="F10" s="119">
        <v>28480.5</v>
      </c>
      <c r="G10" s="119"/>
      <c r="H10" s="119">
        <v>103.9</v>
      </c>
      <c r="I10" s="119">
        <v>93.32</v>
      </c>
      <c r="J10" s="119">
        <v>2075.4299999999998</v>
      </c>
      <c r="K10" s="119">
        <v>136.19</v>
      </c>
      <c r="L10" s="119">
        <v>1442.58</v>
      </c>
      <c r="M10" s="119"/>
      <c r="N10" s="119">
        <v>754.82</v>
      </c>
      <c r="O10" s="119">
        <v>1379.28</v>
      </c>
      <c r="P10" s="119">
        <v>39130.76</v>
      </c>
      <c r="Q10" s="119">
        <v>1839.8999999999999</v>
      </c>
      <c r="R10" s="169">
        <v>27037.919999999998</v>
      </c>
      <c r="S10" s="119"/>
      <c r="T10" s="119">
        <v>0.87900596236258621</v>
      </c>
      <c r="U10" s="119">
        <v>0.9366290914029608</v>
      </c>
      <c r="V10" s="119">
        <v>0.9496330527039748</v>
      </c>
      <c r="W10" s="119">
        <v>0.93108107424256992</v>
      </c>
      <c r="X10" s="174">
        <v>0.94934850160636219</v>
      </c>
      <c r="Y10" s="175"/>
      <c r="Z10" s="175" t="s">
        <v>51</v>
      </c>
      <c r="AA10" s="175">
        <v>0.87900596236258621</v>
      </c>
      <c r="AB10" s="175">
        <v>0.85911553719588551</v>
      </c>
      <c r="AC10" s="175">
        <v>0.94839114441885253</v>
      </c>
      <c r="AD10">
        <v>1.0475825189009773</v>
      </c>
      <c r="AE10">
        <v>1.0300121414478676</v>
      </c>
      <c r="AF10" s="175">
        <v>0.95440448910517495</v>
      </c>
      <c r="AG10" s="175">
        <v>0.98521097711887018</v>
      </c>
      <c r="AH10" s="175">
        <v>1.0276614195217308</v>
      </c>
      <c r="AI10" s="175">
        <v>1.0081452011582193</v>
      </c>
      <c r="AJ10" s="175">
        <v>1.0532688082127195</v>
      </c>
      <c r="AK10" s="175">
        <v>1.0394446659776533</v>
      </c>
      <c r="AL10" s="175">
        <v>0.91118751609072257</v>
      </c>
      <c r="AM10" s="175">
        <v>0.9786191984592717</v>
      </c>
      <c r="AN10" s="175"/>
      <c r="AO10" s="175">
        <v>34.200000000000003</v>
      </c>
      <c r="AP10" s="175">
        <v>29.13</v>
      </c>
      <c r="AQ10" s="175">
        <v>69.89</v>
      </c>
      <c r="AR10">
        <v>64.37</v>
      </c>
      <c r="AS10">
        <v>159.66</v>
      </c>
      <c r="AT10">
        <v>80.260000000000005</v>
      </c>
      <c r="AW10">
        <v>43374</v>
      </c>
      <c r="AX10">
        <v>751.62</v>
      </c>
      <c r="AY10">
        <v>1353.09</v>
      </c>
      <c r="AZ10">
        <v>37811</v>
      </c>
      <c r="BA10">
        <v>1855.2</v>
      </c>
      <c r="BB10">
        <v>26653.24</v>
      </c>
      <c r="BC10">
        <v>95.25</v>
      </c>
      <c r="BD10">
        <v>71.33</v>
      </c>
      <c r="BE10">
        <v>1341.73</v>
      </c>
      <c r="BF10">
        <v>127.55</v>
      </c>
      <c r="BG10">
        <v>1219.3399999999999</v>
      </c>
      <c r="BH10">
        <v>81.2</v>
      </c>
      <c r="BI10">
        <v>61.24</v>
      </c>
      <c r="BJ10">
        <v>178.15</v>
      </c>
      <c r="BK10">
        <v>133.26</v>
      </c>
      <c r="BL10">
        <v>79.17</v>
      </c>
      <c r="BM10">
        <v>22.11</v>
      </c>
    </row>
    <row r="11" spans="1:65" customFormat="1" x14ac:dyDescent="0.25">
      <c r="A11" s="173">
        <v>43405</v>
      </c>
      <c r="B11" s="119">
        <v>854.53</v>
      </c>
      <c r="C11" s="119">
        <v>1299.9000000000001</v>
      </c>
      <c r="D11" s="119">
        <v>34077</v>
      </c>
      <c r="E11" s="119">
        <v>2026.87</v>
      </c>
      <c r="F11" s="119">
        <v>27087.73</v>
      </c>
      <c r="G11" s="119"/>
      <c r="H11" s="119">
        <v>120.39</v>
      </c>
      <c r="I11" s="119">
        <v>56.6</v>
      </c>
      <c r="J11" s="119">
        <v>441.07</v>
      </c>
      <c r="K11" s="119">
        <v>215.19</v>
      </c>
      <c r="L11" s="119">
        <v>1898.1</v>
      </c>
      <c r="M11" s="119"/>
      <c r="N11" s="119">
        <v>734.14</v>
      </c>
      <c r="O11" s="119">
        <v>1243.3000000000002</v>
      </c>
      <c r="P11" s="119">
        <v>33635.93</v>
      </c>
      <c r="Q11" s="119">
        <v>1811.6799999999998</v>
      </c>
      <c r="R11" s="169">
        <v>25189.63</v>
      </c>
      <c r="S11" s="119"/>
      <c r="T11" s="119">
        <v>0.85911553719588551</v>
      </c>
      <c r="U11" s="119">
        <v>0.95645818909146862</v>
      </c>
      <c r="V11" s="119">
        <v>0.98705666578630746</v>
      </c>
      <c r="W11" s="119">
        <v>0.89383137547055314</v>
      </c>
      <c r="X11" s="174">
        <v>0.92992768312442575</v>
      </c>
      <c r="Y11" s="175"/>
      <c r="Z11" s="175" t="s">
        <v>52</v>
      </c>
      <c r="AA11" s="175">
        <v>0.9366290914029608</v>
      </c>
      <c r="AB11" s="175">
        <v>0.95645818909146862</v>
      </c>
      <c r="AC11" s="175">
        <v>0.9818728195917239</v>
      </c>
      <c r="AD11">
        <v>1.018583214723624</v>
      </c>
      <c r="AE11">
        <v>1.0117971178298955</v>
      </c>
      <c r="AF11" s="175">
        <v>0.98228300779383859</v>
      </c>
      <c r="AG11" s="175">
        <v>0.99621719141011467</v>
      </c>
      <c r="AH11" s="175">
        <v>1.003022058515759</v>
      </c>
      <c r="AI11" s="175">
        <v>1.0031730243895605</v>
      </c>
      <c r="AJ11" s="175">
        <v>1.0303209395840938</v>
      </c>
      <c r="AK11" s="175">
        <v>1.0223736452409058</v>
      </c>
      <c r="AL11" s="175">
        <v>0.9461905049164504</v>
      </c>
      <c r="AM11" s="175">
        <v>0.99074340037419961</v>
      </c>
      <c r="AN11" s="175"/>
      <c r="AO11" s="175">
        <v>249.54</v>
      </c>
      <c r="AP11" s="175">
        <v>150.94999999999999</v>
      </c>
      <c r="AQ11" s="175">
        <v>381.87</v>
      </c>
      <c r="AR11">
        <v>257.73</v>
      </c>
      <c r="AS11">
        <v>11.16</v>
      </c>
      <c r="AT11">
        <v>3.45</v>
      </c>
      <c r="AW11">
        <v>43405</v>
      </c>
      <c r="AX11">
        <v>1106.21</v>
      </c>
      <c r="AY11">
        <v>1429.86</v>
      </c>
      <c r="AZ11">
        <v>34804.300000000003</v>
      </c>
      <c r="BA11">
        <v>2535.7199999999998</v>
      </c>
      <c r="BB11">
        <v>31492.080000000002</v>
      </c>
      <c r="BC11">
        <v>196.25</v>
      </c>
      <c r="BD11">
        <v>89.07</v>
      </c>
      <c r="BE11">
        <v>591.34</v>
      </c>
      <c r="BF11">
        <v>376.09</v>
      </c>
      <c r="BG11">
        <v>3329.98</v>
      </c>
      <c r="BH11">
        <v>456.01</v>
      </c>
      <c r="BI11">
        <v>273.67</v>
      </c>
      <c r="BJ11">
        <v>606.01</v>
      </c>
      <c r="BK11">
        <v>405.12</v>
      </c>
      <c r="BL11">
        <v>0</v>
      </c>
      <c r="BM11">
        <v>0.18</v>
      </c>
    </row>
    <row r="12" spans="1:65" customFormat="1" x14ac:dyDescent="0.25">
      <c r="A12" s="173">
        <v>43435</v>
      </c>
      <c r="B12" s="119">
        <v>1163.56</v>
      </c>
      <c r="C12" s="119">
        <v>1447.55</v>
      </c>
      <c r="D12" s="119">
        <v>34831.199999999997</v>
      </c>
      <c r="E12" s="119">
        <v>2676.05</v>
      </c>
      <c r="F12" s="119">
        <v>32178.27</v>
      </c>
      <c r="G12" s="119"/>
      <c r="H12" s="119">
        <v>60.05</v>
      </c>
      <c r="I12" s="119">
        <v>26.24</v>
      </c>
      <c r="J12" s="119">
        <v>117.86</v>
      </c>
      <c r="K12" s="119">
        <v>111.09</v>
      </c>
      <c r="L12" s="119">
        <v>963.36</v>
      </c>
      <c r="M12" s="119"/>
      <c r="N12" s="119">
        <v>1103.51</v>
      </c>
      <c r="O12" s="119">
        <v>1421.31</v>
      </c>
      <c r="P12" s="119">
        <v>34713.339999999997</v>
      </c>
      <c r="Q12" s="119">
        <v>2564.96</v>
      </c>
      <c r="R12" s="169">
        <v>31214.91</v>
      </c>
      <c r="S12" s="119"/>
      <c r="T12" s="119">
        <v>0.94839114441885253</v>
      </c>
      <c r="U12" s="119">
        <v>0.9818728195917239</v>
      </c>
      <c r="V12" s="119">
        <v>0.99661625209582216</v>
      </c>
      <c r="W12" s="119">
        <v>0.95848732273313275</v>
      </c>
      <c r="X12" s="174">
        <v>0.97006178393058418</v>
      </c>
      <c r="Y12" s="175"/>
      <c r="Z12" s="175" t="s">
        <v>53</v>
      </c>
      <c r="AA12" s="175">
        <v>0.9496330527039748</v>
      </c>
      <c r="AB12" s="175">
        <v>0.98705666578630746</v>
      </c>
      <c r="AC12" s="175">
        <v>0.99661625209582216</v>
      </c>
      <c r="AD12">
        <v>1.0063350454013824</v>
      </c>
      <c r="AE12">
        <v>1.0039649609384145</v>
      </c>
      <c r="AF12" s="175">
        <v>0.99442715384976343</v>
      </c>
      <c r="AG12" s="175">
        <v>0.99896456277956569</v>
      </c>
      <c r="AH12" s="175">
        <v>0.99309977662747473</v>
      </c>
      <c r="AI12" s="175">
        <v>0.99549729692767708</v>
      </c>
      <c r="AJ12" s="175">
        <v>1.015308796911754</v>
      </c>
      <c r="AK12" s="175">
        <v>1.0100078055747348</v>
      </c>
      <c r="AL12" s="175">
        <v>0.95802351631321325</v>
      </c>
      <c r="AM12" s="175">
        <v>0.99241124049250695</v>
      </c>
      <c r="AN12" s="175"/>
      <c r="AO12" s="175">
        <v>480.96</v>
      </c>
      <c r="AP12" s="175">
        <v>427.03</v>
      </c>
      <c r="AQ12" s="175">
        <v>629.29</v>
      </c>
      <c r="AR12">
        <v>563.58000000000004</v>
      </c>
      <c r="AS12">
        <v>0</v>
      </c>
      <c r="AT12">
        <v>0.16</v>
      </c>
      <c r="AW12">
        <v>43435</v>
      </c>
      <c r="AX12">
        <v>1266.4000000000001</v>
      </c>
      <c r="AY12">
        <v>1516.43</v>
      </c>
      <c r="AZ12">
        <v>35209.39</v>
      </c>
      <c r="BA12">
        <v>2801.7</v>
      </c>
      <c r="BB12">
        <v>33232.949999999997</v>
      </c>
      <c r="BC12">
        <v>-100.57</v>
      </c>
      <c r="BD12">
        <v>-47.27</v>
      </c>
      <c r="BE12">
        <v>-369.89</v>
      </c>
      <c r="BF12">
        <v>-199.3</v>
      </c>
      <c r="BG12">
        <v>-1784.89</v>
      </c>
      <c r="BH12">
        <v>496.44</v>
      </c>
      <c r="BI12">
        <v>593</v>
      </c>
      <c r="BJ12">
        <v>651.44000000000005</v>
      </c>
      <c r="BK12">
        <v>747.52</v>
      </c>
      <c r="BL12">
        <v>0</v>
      </c>
      <c r="BM12">
        <v>0</v>
      </c>
    </row>
    <row r="13" spans="1:65" customFormat="1" x14ac:dyDescent="0.25">
      <c r="A13" s="173">
        <v>43466</v>
      </c>
      <c r="B13" s="119">
        <v>1355.75</v>
      </c>
      <c r="C13" s="119">
        <v>1622.97</v>
      </c>
      <c r="D13" s="119">
        <v>37260.980000000003</v>
      </c>
      <c r="E13" s="119">
        <v>3047.79</v>
      </c>
      <c r="F13" s="119">
        <v>35082.550000000003</v>
      </c>
      <c r="G13" s="119"/>
      <c r="H13" s="119">
        <v>-64.510000000000005</v>
      </c>
      <c r="I13" s="119">
        <v>-30.16</v>
      </c>
      <c r="J13" s="119">
        <v>-236.05</v>
      </c>
      <c r="K13" s="119">
        <v>-127.19</v>
      </c>
      <c r="L13" s="119">
        <v>-1139.06</v>
      </c>
      <c r="M13" s="119"/>
      <c r="N13" s="119">
        <v>1420.26</v>
      </c>
      <c r="O13" s="119">
        <v>1653.13</v>
      </c>
      <c r="P13" s="119">
        <v>37497.030000000006</v>
      </c>
      <c r="Q13" s="119">
        <v>3174.98</v>
      </c>
      <c r="R13" s="169">
        <v>36221.61</v>
      </c>
      <c r="S13" s="119"/>
      <c r="T13" s="119">
        <v>1.0475825189009773</v>
      </c>
      <c r="U13" s="119">
        <v>1.018583214723624</v>
      </c>
      <c r="V13" s="119">
        <v>1.0063350454013824</v>
      </c>
      <c r="W13" s="119">
        <v>1.0417318778524767</v>
      </c>
      <c r="X13" s="174">
        <v>1.0324679933471197</v>
      </c>
      <c r="Y13" s="175"/>
      <c r="Z13" s="175" t="s">
        <v>54</v>
      </c>
      <c r="AA13" s="175">
        <v>0.93108107424256992</v>
      </c>
      <c r="AB13" s="175">
        <v>0.89383137547055314</v>
      </c>
      <c r="AC13" s="175">
        <v>0.95848732273313275</v>
      </c>
      <c r="AD13">
        <v>1.0417318778524767</v>
      </c>
      <c r="AE13">
        <v>1.0243296391234418</v>
      </c>
      <c r="AF13" s="175">
        <v>0.96188752154009505</v>
      </c>
      <c r="AG13" s="175">
        <v>0.98930402558505515</v>
      </c>
      <c r="AH13" s="175">
        <v>1.0145736021828609</v>
      </c>
      <c r="AI13" s="175">
        <v>1.0023088401845128</v>
      </c>
      <c r="AJ13" s="175">
        <v>1.0274260999668876</v>
      </c>
      <c r="AK13" s="175">
        <v>1.0205201585005346</v>
      </c>
      <c r="AL13" s="175">
        <v>0.94482707362996732</v>
      </c>
      <c r="AM13" s="175">
        <v>0.9841923842510073</v>
      </c>
      <c r="AN13" s="175"/>
      <c r="AO13" s="175">
        <v>542.67999999999995</v>
      </c>
      <c r="AP13" s="175">
        <v>604.29999999999995</v>
      </c>
      <c r="AQ13" s="175">
        <v>704.62</v>
      </c>
      <c r="AR13">
        <v>766.91</v>
      </c>
      <c r="AS13">
        <v>0</v>
      </c>
      <c r="AT13">
        <v>0</v>
      </c>
      <c r="AW13">
        <v>43466</v>
      </c>
      <c r="AX13">
        <v>1405.33</v>
      </c>
      <c r="AY13">
        <v>1654.54</v>
      </c>
      <c r="AZ13">
        <v>38123.15</v>
      </c>
      <c r="BA13">
        <v>3369.99</v>
      </c>
      <c r="BB13">
        <v>36582.480000000003</v>
      </c>
      <c r="BC13">
        <v>-46.67</v>
      </c>
      <c r="BD13">
        <v>-21.73</v>
      </c>
      <c r="BE13">
        <v>-170.03</v>
      </c>
      <c r="BF13">
        <v>-91.61</v>
      </c>
      <c r="BG13">
        <v>-820.45</v>
      </c>
      <c r="BH13">
        <v>637.58000000000004</v>
      </c>
      <c r="BI13">
        <v>681.96</v>
      </c>
      <c r="BJ13">
        <v>791.44</v>
      </c>
      <c r="BK13">
        <v>836.93</v>
      </c>
      <c r="BL13">
        <v>0</v>
      </c>
      <c r="BM13">
        <v>0</v>
      </c>
    </row>
    <row r="14" spans="1:65" customFormat="1" x14ac:dyDescent="0.25">
      <c r="A14" s="173">
        <v>43497</v>
      </c>
      <c r="B14" s="119">
        <v>1317.8</v>
      </c>
      <c r="C14" s="119">
        <v>1557.16</v>
      </c>
      <c r="D14" s="119">
        <v>36308.050000000003</v>
      </c>
      <c r="E14" s="119">
        <v>3183.36</v>
      </c>
      <c r="F14" s="119">
        <v>34456.1</v>
      </c>
      <c r="G14" s="119"/>
      <c r="H14" s="119">
        <v>-39.549999999999997</v>
      </c>
      <c r="I14" s="119">
        <v>-18.37</v>
      </c>
      <c r="J14" s="119">
        <v>-143.96</v>
      </c>
      <c r="K14" s="119">
        <v>-77.45</v>
      </c>
      <c r="L14" s="119">
        <v>-693.74</v>
      </c>
      <c r="M14" s="119"/>
      <c r="N14" s="119">
        <v>1357.35</v>
      </c>
      <c r="O14" s="119">
        <v>1575.53</v>
      </c>
      <c r="P14" s="119">
        <v>36452.01</v>
      </c>
      <c r="Q14" s="119">
        <v>3260.81</v>
      </c>
      <c r="R14" s="169">
        <v>35149.839999999997</v>
      </c>
      <c r="S14" s="119"/>
      <c r="T14" s="119">
        <v>1.0300121414478676</v>
      </c>
      <c r="U14" s="119">
        <v>1.0117971178298955</v>
      </c>
      <c r="V14" s="119">
        <v>1.0039649609384145</v>
      </c>
      <c r="W14" s="119">
        <v>1.0243296391234418</v>
      </c>
      <c r="X14" s="174">
        <v>1.0201340256152032</v>
      </c>
      <c r="Y14" s="175"/>
      <c r="Z14" s="175" t="s">
        <v>55</v>
      </c>
      <c r="AA14" s="175">
        <v>0.94934850160636219</v>
      </c>
      <c r="AB14" s="175">
        <v>0.92992768312442575</v>
      </c>
      <c r="AC14" s="175">
        <v>0.97006178393058418</v>
      </c>
      <c r="AD14">
        <v>1.0324679933471197</v>
      </c>
      <c r="AE14">
        <v>1.0201340256152032</v>
      </c>
      <c r="AF14" s="175">
        <v>0.96988559726390189</v>
      </c>
      <c r="AG14" s="175">
        <v>0.99253598553656552</v>
      </c>
      <c r="AH14" s="175">
        <v>1.0057663029262436</v>
      </c>
      <c r="AI14" s="175">
        <v>1.0002953893402693</v>
      </c>
      <c r="AJ14" s="175">
        <v>1.0216456898756232</v>
      </c>
      <c r="AK14" s="175">
        <v>1.0161451771325754</v>
      </c>
      <c r="AL14" s="175">
        <v>0.95589300003195554</v>
      </c>
      <c r="AM14" s="175">
        <v>0.98867559414423578</v>
      </c>
      <c r="AN14" s="175"/>
      <c r="AO14" s="175">
        <v>592.20000000000005</v>
      </c>
      <c r="AP14" s="175">
        <v>629.72</v>
      </c>
      <c r="AQ14" s="175">
        <v>737.13</v>
      </c>
      <c r="AR14">
        <v>775.85</v>
      </c>
      <c r="AS14">
        <v>0</v>
      </c>
      <c r="AT14">
        <v>0</v>
      </c>
      <c r="AW14">
        <v>43497</v>
      </c>
      <c r="AX14">
        <v>1188.97</v>
      </c>
      <c r="AY14">
        <v>1435.16</v>
      </c>
      <c r="AZ14">
        <v>34084.32</v>
      </c>
      <c r="BA14">
        <v>2831.54</v>
      </c>
      <c r="BB14">
        <v>31094.23</v>
      </c>
      <c r="BC14">
        <v>-13.44</v>
      </c>
      <c r="BD14">
        <v>-6.14</v>
      </c>
      <c r="BE14">
        <v>-48.25</v>
      </c>
      <c r="BF14">
        <v>-25.87</v>
      </c>
      <c r="BG14">
        <v>-231.78</v>
      </c>
      <c r="BH14">
        <v>491.07</v>
      </c>
      <c r="BI14">
        <v>503.61</v>
      </c>
      <c r="BJ14">
        <v>628.86</v>
      </c>
      <c r="BK14">
        <v>642.49</v>
      </c>
      <c r="BL14">
        <v>0</v>
      </c>
      <c r="BM14">
        <v>0</v>
      </c>
    </row>
    <row r="15" spans="1:65" customFormat="1" x14ac:dyDescent="0.25">
      <c r="A15" s="173">
        <v>43525</v>
      </c>
      <c r="B15" s="119">
        <v>1234.99</v>
      </c>
      <c r="C15" s="119">
        <v>1465.26</v>
      </c>
      <c r="D15" s="119">
        <v>34736.29</v>
      </c>
      <c r="E15" s="119">
        <v>2872.55</v>
      </c>
      <c r="F15" s="119">
        <v>32443.279999999999</v>
      </c>
      <c r="G15" s="119"/>
      <c r="H15" s="119">
        <v>56.31</v>
      </c>
      <c r="I15" s="119">
        <v>25.96</v>
      </c>
      <c r="J15" s="119">
        <v>193.58</v>
      </c>
      <c r="K15" s="119">
        <v>109.48</v>
      </c>
      <c r="L15" s="119">
        <v>977.01</v>
      </c>
      <c r="M15" s="119"/>
      <c r="N15" s="119">
        <v>1178.68</v>
      </c>
      <c r="O15" s="119">
        <v>1439.3</v>
      </c>
      <c r="P15" s="119">
        <v>34542.71</v>
      </c>
      <c r="Q15" s="119">
        <v>2763.07</v>
      </c>
      <c r="R15" s="169">
        <v>31466.27</v>
      </c>
      <c r="S15" s="119"/>
      <c r="T15" s="119">
        <v>0.95440448910517495</v>
      </c>
      <c r="U15" s="119">
        <v>0.98228300779383859</v>
      </c>
      <c r="V15" s="119">
        <v>0.99442715384976343</v>
      </c>
      <c r="W15" s="119">
        <v>0.96188752154009505</v>
      </c>
      <c r="X15" s="174">
        <v>0.96988559726390189</v>
      </c>
      <c r="Y15" s="175"/>
      <c r="Z15" s="175"/>
      <c r="AA15" s="175"/>
      <c r="AB15" s="175"/>
      <c r="AC15" s="175"/>
      <c r="AO15">
        <v>516.09</v>
      </c>
      <c r="AP15">
        <v>463.04</v>
      </c>
      <c r="AQ15">
        <v>659.08</v>
      </c>
      <c r="AR15">
        <v>603.1</v>
      </c>
      <c r="AS15">
        <v>0</v>
      </c>
      <c r="AT15">
        <v>0.01</v>
      </c>
      <c r="AW15">
        <v>43525</v>
      </c>
      <c r="AX15">
        <v>1120.46</v>
      </c>
      <c r="AY15">
        <v>1404.87</v>
      </c>
      <c r="AZ15">
        <v>35694.639999999999</v>
      </c>
      <c r="BA15">
        <v>2555.15</v>
      </c>
      <c r="BB15">
        <v>31069.439999999999</v>
      </c>
      <c r="BC15">
        <v>91.01</v>
      </c>
      <c r="BD15">
        <v>40.380000000000003</v>
      </c>
      <c r="BE15">
        <v>184.55</v>
      </c>
      <c r="BF15">
        <v>170.88</v>
      </c>
      <c r="BG15">
        <v>1482.8</v>
      </c>
      <c r="BH15">
        <v>376.73</v>
      </c>
      <c r="BI15">
        <v>293.79000000000002</v>
      </c>
      <c r="BJ15">
        <v>523.88</v>
      </c>
      <c r="BK15">
        <v>426.89</v>
      </c>
      <c r="BL15">
        <v>0</v>
      </c>
      <c r="BM15">
        <v>0.21</v>
      </c>
    </row>
    <row r="16" spans="1:65" customFormat="1" x14ac:dyDescent="0.25">
      <c r="A16" s="173">
        <v>43556</v>
      </c>
      <c r="B16" s="119">
        <v>824.26</v>
      </c>
      <c r="C16" s="119">
        <v>1202.81</v>
      </c>
      <c r="D16" s="119">
        <v>33956.67</v>
      </c>
      <c r="E16" s="119">
        <v>1969.9</v>
      </c>
      <c r="F16" s="119">
        <v>25570.69</v>
      </c>
      <c r="G16" s="119"/>
      <c r="H16" s="119">
        <v>12.19</v>
      </c>
      <c r="I16" s="119">
        <v>4.55</v>
      </c>
      <c r="J16" s="119">
        <v>35.159999999999997</v>
      </c>
      <c r="K16" s="119">
        <v>21.07</v>
      </c>
      <c r="L16" s="119">
        <v>190.86</v>
      </c>
      <c r="M16" s="119"/>
      <c r="N16" s="119">
        <v>812.06999999999994</v>
      </c>
      <c r="O16" s="119">
        <v>1198.26</v>
      </c>
      <c r="P16" s="119">
        <v>33921.509999999995</v>
      </c>
      <c r="Q16" s="119">
        <v>1948.8300000000002</v>
      </c>
      <c r="R16" s="169">
        <v>25379.829999999998</v>
      </c>
      <c r="S16" s="119"/>
      <c r="T16" s="119">
        <v>0.98521097711887018</v>
      </c>
      <c r="U16" s="119">
        <v>0.99621719141011467</v>
      </c>
      <c r="V16" s="119">
        <v>0.99896456277956569</v>
      </c>
      <c r="W16" s="119">
        <v>0.98930402558505515</v>
      </c>
      <c r="X16" s="174">
        <v>0.99253598553656552</v>
      </c>
      <c r="Y16" s="175"/>
      <c r="Z16" s="175"/>
      <c r="AA16" s="175"/>
      <c r="AB16" s="175"/>
      <c r="AC16" s="175"/>
      <c r="AO16">
        <v>163.13999999999999</v>
      </c>
      <c r="AP16">
        <v>152.47999999999999</v>
      </c>
      <c r="AQ16">
        <v>271.83</v>
      </c>
      <c r="AR16">
        <v>255.86</v>
      </c>
      <c r="AS16">
        <v>6.84</v>
      </c>
      <c r="AT16">
        <v>7.47</v>
      </c>
      <c r="AW16">
        <v>43556</v>
      </c>
      <c r="AX16">
        <v>681.83</v>
      </c>
      <c r="AY16">
        <v>1141.4000000000001</v>
      </c>
      <c r="AZ16">
        <v>34415.760000000002</v>
      </c>
      <c r="BA16">
        <v>1749.2</v>
      </c>
      <c r="BB16">
        <v>23608.1</v>
      </c>
      <c r="BC16">
        <v>-33.78</v>
      </c>
      <c r="BD16">
        <v>-12.25</v>
      </c>
      <c r="BE16">
        <v>181.83</v>
      </c>
      <c r="BF16">
        <v>-49.05</v>
      </c>
      <c r="BG16">
        <v>-333.94</v>
      </c>
      <c r="BH16">
        <v>58.91</v>
      </c>
      <c r="BI16">
        <v>82.03</v>
      </c>
      <c r="BJ16">
        <v>115.6</v>
      </c>
      <c r="BK16">
        <v>164.48</v>
      </c>
      <c r="BL16">
        <v>14.68</v>
      </c>
      <c r="BM16">
        <v>15.55</v>
      </c>
    </row>
    <row r="17" spans="1:65" customFormat="1" x14ac:dyDescent="0.25">
      <c r="A17" s="173">
        <v>43586</v>
      </c>
      <c r="B17" s="119">
        <v>680.37</v>
      </c>
      <c r="C17" s="119">
        <v>1194.55</v>
      </c>
      <c r="D17" s="119">
        <v>35519.14</v>
      </c>
      <c r="E17" s="119">
        <v>1729.84</v>
      </c>
      <c r="F17" s="119">
        <v>23855.84</v>
      </c>
      <c r="G17" s="119"/>
      <c r="H17" s="119">
        <v>-18.82</v>
      </c>
      <c r="I17" s="119">
        <v>-3.61</v>
      </c>
      <c r="J17" s="119">
        <v>245.09</v>
      </c>
      <c r="K17" s="119">
        <v>-25.21</v>
      </c>
      <c r="L17" s="119">
        <v>-137.56</v>
      </c>
      <c r="M17" s="119"/>
      <c r="N17" s="119">
        <v>699.19</v>
      </c>
      <c r="O17" s="119">
        <v>1198.1599999999999</v>
      </c>
      <c r="P17" s="119">
        <v>35274.050000000003</v>
      </c>
      <c r="Q17" s="119">
        <v>1755.05</v>
      </c>
      <c r="R17" s="169">
        <v>23993.4</v>
      </c>
      <c r="S17" s="119"/>
      <c r="T17" s="119">
        <v>1.0276614195217308</v>
      </c>
      <c r="U17" s="119">
        <v>1.003022058515759</v>
      </c>
      <c r="V17" s="119">
        <v>0.99309977662747473</v>
      </c>
      <c r="W17" s="119">
        <v>1.0145736021828609</v>
      </c>
      <c r="X17" s="174">
        <v>1.0057663029262436</v>
      </c>
      <c r="Y17" s="175"/>
      <c r="Z17" s="175"/>
      <c r="AA17" s="175"/>
      <c r="AB17" s="175"/>
      <c r="AC17" s="175"/>
      <c r="AO17">
        <v>22.05</v>
      </c>
      <c r="AP17">
        <v>36.68</v>
      </c>
      <c r="AQ17">
        <v>59.09</v>
      </c>
      <c r="AR17">
        <v>95.66</v>
      </c>
      <c r="AS17">
        <v>31.35</v>
      </c>
      <c r="AT17">
        <v>28.06</v>
      </c>
      <c r="AW17">
        <v>43586</v>
      </c>
      <c r="AX17">
        <v>754.89</v>
      </c>
      <c r="AY17">
        <v>1330.7</v>
      </c>
      <c r="AZ17">
        <v>37571.51</v>
      </c>
      <c r="BA17">
        <v>1881.8</v>
      </c>
      <c r="BB17">
        <v>25791.8</v>
      </c>
      <c r="BC17">
        <v>25.1</v>
      </c>
      <c r="BD17">
        <v>24.97</v>
      </c>
      <c r="BE17">
        <v>660.81</v>
      </c>
      <c r="BF17">
        <v>32.93</v>
      </c>
      <c r="BG17">
        <v>379.35</v>
      </c>
      <c r="BH17">
        <v>4.92</v>
      </c>
      <c r="BI17">
        <v>6.39</v>
      </c>
      <c r="BJ17">
        <v>27.2</v>
      </c>
      <c r="BK17">
        <v>31.55</v>
      </c>
      <c r="BL17">
        <v>111.69</v>
      </c>
      <c r="BM17">
        <v>88.05</v>
      </c>
    </row>
    <row r="18" spans="1:65" customFormat="1" x14ac:dyDescent="0.25">
      <c r="A18" s="173">
        <v>43617</v>
      </c>
      <c r="B18" s="119">
        <v>849.58</v>
      </c>
      <c r="C18" s="119">
        <v>1427.66</v>
      </c>
      <c r="D18" s="119">
        <v>38607.919999999998</v>
      </c>
      <c r="E18" s="119">
        <v>2057.31</v>
      </c>
      <c r="F18" s="119">
        <v>27455.29</v>
      </c>
      <c r="G18" s="119"/>
      <c r="H18" s="119">
        <v>-6.92</v>
      </c>
      <c r="I18" s="119">
        <v>-4.53</v>
      </c>
      <c r="J18" s="119">
        <v>173.84</v>
      </c>
      <c r="K18" s="119">
        <v>-4.75</v>
      </c>
      <c r="L18" s="119">
        <v>-8.11</v>
      </c>
      <c r="M18" s="119"/>
      <c r="N18" s="119">
        <v>856.5</v>
      </c>
      <c r="O18" s="119">
        <v>1432.19</v>
      </c>
      <c r="P18" s="119">
        <v>38434.080000000002</v>
      </c>
      <c r="Q18" s="119">
        <v>2062.06</v>
      </c>
      <c r="R18" s="169">
        <v>27463.4</v>
      </c>
      <c r="S18" s="119"/>
      <c r="T18" s="119">
        <v>1.0081452011582193</v>
      </c>
      <c r="U18" s="119">
        <v>1.0031730243895605</v>
      </c>
      <c r="V18" s="119">
        <v>0.99549729692767708</v>
      </c>
      <c r="W18" s="119">
        <v>1.0023088401845128</v>
      </c>
      <c r="X18" s="174">
        <v>1.0002953893402693</v>
      </c>
      <c r="Y18" s="175"/>
      <c r="Z18" s="175"/>
      <c r="AA18" s="175"/>
      <c r="AB18" s="175"/>
      <c r="AC18" s="175"/>
      <c r="AO18">
        <v>1.99</v>
      </c>
      <c r="AP18">
        <v>2.58</v>
      </c>
      <c r="AQ18">
        <v>10.63</v>
      </c>
      <c r="AR18">
        <v>12.18</v>
      </c>
      <c r="AS18">
        <v>186.49</v>
      </c>
      <c r="AT18">
        <v>183.57</v>
      </c>
      <c r="AW18">
        <v>43617</v>
      </c>
      <c r="AX18">
        <v>960.08</v>
      </c>
      <c r="AY18">
        <v>1535.3</v>
      </c>
      <c r="AZ18">
        <v>38993.879999999997</v>
      </c>
      <c r="BA18">
        <v>2197.4</v>
      </c>
      <c r="BB18">
        <v>28194.400000000001</v>
      </c>
      <c r="BC18">
        <v>-54.82</v>
      </c>
      <c r="BD18">
        <v>-48.46</v>
      </c>
      <c r="BE18">
        <v>-631.30999999999995</v>
      </c>
      <c r="BF18">
        <v>-63.2</v>
      </c>
      <c r="BG18">
        <v>-605.09</v>
      </c>
      <c r="BH18">
        <v>0</v>
      </c>
      <c r="BI18">
        <v>0</v>
      </c>
      <c r="BJ18">
        <v>0</v>
      </c>
      <c r="BK18">
        <v>0</v>
      </c>
      <c r="BL18">
        <v>243.79</v>
      </c>
      <c r="BM18">
        <v>275.18</v>
      </c>
    </row>
    <row r="19" spans="1:65" customFormat="1" x14ac:dyDescent="0.25">
      <c r="A19" s="173">
        <v>43647</v>
      </c>
      <c r="B19" s="119">
        <v>1124.1099999999999</v>
      </c>
      <c r="C19" s="119">
        <v>1725.87</v>
      </c>
      <c r="D19" s="119">
        <v>41530.370000000003</v>
      </c>
      <c r="E19" s="119">
        <v>2446.21</v>
      </c>
      <c r="F19" s="119">
        <v>30188.92</v>
      </c>
      <c r="G19" s="119"/>
      <c r="H19" s="119">
        <v>-59.88</v>
      </c>
      <c r="I19" s="119">
        <v>-52.33</v>
      </c>
      <c r="J19" s="119">
        <v>-635.78</v>
      </c>
      <c r="K19" s="119">
        <v>-67.09</v>
      </c>
      <c r="L19" s="119">
        <v>-653.46</v>
      </c>
      <c r="M19" s="119"/>
      <c r="N19" s="119">
        <v>1183.99</v>
      </c>
      <c r="O19" s="119">
        <v>1778.1999999999998</v>
      </c>
      <c r="P19" s="119">
        <v>42166.15</v>
      </c>
      <c r="Q19" s="119">
        <v>2513.3000000000002</v>
      </c>
      <c r="R19" s="169">
        <v>30842.379999999997</v>
      </c>
      <c r="S19" s="119"/>
      <c r="T19" s="119">
        <v>1.0532688082127195</v>
      </c>
      <c r="U19" s="119">
        <v>1.0303209395840938</v>
      </c>
      <c r="V19" s="119">
        <v>1.015308796911754</v>
      </c>
      <c r="W19" s="119">
        <v>1.0274260999668876</v>
      </c>
      <c r="X19" s="174">
        <v>1.0216456898756232</v>
      </c>
      <c r="Y19" s="175"/>
      <c r="Z19" s="175"/>
      <c r="AA19" s="175"/>
      <c r="AB19" s="175"/>
      <c r="AC19" s="175"/>
      <c r="AO19">
        <v>0</v>
      </c>
      <c r="AP19">
        <v>0</v>
      </c>
      <c r="AQ19">
        <v>0</v>
      </c>
      <c r="AR19">
        <v>0</v>
      </c>
      <c r="AS19">
        <v>329.48</v>
      </c>
      <c r="AT19">
        <v>360.09</v>
      </c>
      <c r="AW19">
        <v>43647</v>
      </c>
      <c r="AX19">
        <v>1250</v>
      </c>
      <c r="AY19">
        <v>1894.9</v>
      </c>
      <c r="AZ19">
        <v>44467.37</v>
      </c>
      <c r="BA19">
        <v>2641</v>
      </c>
      <c r="BB19">
        <v>32110.6</v>
      </c>
      <c r="BC19">
        <v>-46.8</v>
      </c>
      <c r="BD19">
        <v>-40.07</v>
      </c>
      <c r="BE19">
        <v>-403.3</v>
      </c>
      <c r="BF19">
        <v>-49.76</v>
      </c>
      <c r="BG19">
        <v>-493.14</v>
      </c>
      <c r="BH19">
        <v>0</v>
      </c>
      <c r="BI19">
        <v>0</v>
      </c>
      <c r="BJ19">
        <v>0</v>
      </c>
      <c r="BK19">
        <v>0</v>
      </c>
      <c r="BL19">
        <v>401.5</v>
      </c>
      <c r="BM19">
        <v>420.39</v>
      </c>
    </row>
    <row r="20" spans="1:65" customFormat="1" x14ac:dyDescent="0.25">
      <c r="A20" s="173">
        <v>43678</v>
      </c>
      <c r="B20" s="119">
        <v>1228.81</v>
      </c>
      <c r="C20" s="119">
        <v>1863.8</v>
      </c>
      <c r="D20" s="119">
        <v>44391.35</v>
      </c>
      <c r="E20" s="119">
        <v>2543.84</v>
      </c>
      <c r="F20" s="119">
        <v>31978.59</v>
      </c>
      <c r="G20" s="119"/>
      <c r="H20" s="119">
        <v>-48.47</v>
      </c>
      <c r="I20" s="119">
        <v>-41.7</v>
      </c>
      <c r="J20" s="119">
        <v>-444.26</v>
      </c>
      <c r="K20" s="119">
        <v>-52.2</v>
      </c>
      <c r="L20" s="119">
        <v>-516.29999999999995</v>
      </c>
      <c r="M20" s="119"/>
      <c r="N20" s="119">
        <v>1277.28</v>
      </c>
      <c r="O20" s="119">
        <v>1905.5</v>
      </c>
      <c r="P20" s="119">
        <v>44835.61</v>
      </c>
      <c r="Q20" s="119">
        <v>2596.04</v>
      </c>
      <c r="R20" s="169">
        <v>32494.89</v>
      </c>
      <c r="S20" s="119"/>
      <c r="T20" s="119">
        <v>1.0394446659776533</v>
      </c>
      <c r="U20" s="119">
        <v>1.0223736452409058</v>
      </c>
      <c r="V20" s="119">
        <v>1.0100078055747348</v>
      </c>
      <c r="W20" s="119">
        <v>1.0205201585005346</v>
      </c>
      <c r="X20" s="174">
        <v>1.0161451771325754</v>
      </c>
      <c r="Y20" s="175"/>
      <c r="Z20" s="175"/>
      <c r="AA20" s="175"/>
      <c r="AB20" s="175"/>
      <c r="AC20" s="175"/>
      <c r="AO20">
        <v>0</v>
      </c>
      <c r="AP20">
        <v>0</v>
      </c>
      <c r="AQ20">
        <v>0</v>
      </c>
      <c r="AR20">
        <v>0</v>
      </c>
      <c r="AS20">
        <v>402.36</v>
      </c>
      <c r="AT20">
        <v>423.17</v>
      </c>
      <c r="AW20">
        <v>43678</v>
      </c>
      <c r="AX20">
        <v>1163.3499999999999</v>
      </c>
      <c r="AY20">
        <v>1777.6</v>
      </c>
      <c r="AZ20">
        <v>43405.11</v>
      </c>
      <c r="BA20">
        <v>2360.8000000000002</v>
      </c>
      <c r="BB20">
        <v>30850.9</v>
      </c>
      <c r="BC20">
        <v>-71.150000000000006</v>
      </c>
      <c r="BD20">
        <v>-62.12</v>
      </c>
      <c r="BE20">
        <v>-769.03</v>
      </c>
      <c r="BF20">
        <v>-79.53</v>
      </c>
      <c r="BG20">
        <v>-782.51</v>
      </c>
      <c r="BH20">
        <v>0</v>
      </c>
      <c r="BI20">
        <v>0</v>
      </c>
      <c r="BJ20">
        <v>0</v>
      </c>
      <c r="BK20">
        <v>0</v>
      </c>
      <c r="BL20">
        <v>369.45</v>
      </c>
      <c r="BM20">
        <v>405.49</v>
      </c>
    </row>
    <row r="21" spans="1:65" customFormat="1" x14ac:dyDescent="0.25">
      <c r="A21" s="173">
        <v>43709</v>
      </c>
      <c r="B21" s="119">
        <v>1204.1099999999999</v>
      </c>
      <c r="C21" s="119">
        <v>1823.47</v>
      </c>
      <c r="D21" s="119">
        <v>45052.13</v>
      </c>
      <c r="E21" s="119">
        <v>2421.84</v>
      </c>
      <c r="F21" s="119">
        <v>30980.57</v>
      </c>
      <c r="G21" s="119"/>
      <c r="H21" s="161">
        <v>106.94</v>
      </c>
      <c r="I21" s="161">
        <v>98.12</v>
      </c>
      <c r="J21" s="161">
        <v>1891.13</v>
      </c>
      <c r="K21" s="161">
        <v>133.62</v>
      </c>
      <c r="L21" s="161">
        <v>1366.46</v>
      </c>
      <c r="M21" s="119"/>
      <c r="N21" s="119">
        <v>1097.1699999999998</v>
      </c>
      <c r="O21" s="119">
        <v>1725.35</v>
      </c>
      <c r="P21" s="119">
        <v>43161</v>
      </c>
      <c r="Q21" s="119">
        <v>2288.2200000000003</v>
      </c>
      <c r="R21" s="169">
        <v>29614.11</v>
      </c>
      <c r="S21" s="119"/>
      <c r="T21" s="119">
        <v>0.91118751609072257</v>
      </c>
      <c r="U21" s="119">
        <v>0.9461905049164504</v>
      </c>
      <c r="V21" s="119">
        <v>0.95802351631321325</v>
      </c>
      <c r="W21" s="119">
        <v>0.94482707362996732</v>
      </c>
      <c r="X21" s="174">
        <v>0.95589300003195554</v>
      </c>
      <c r="Y21" s="175"/>
      <c r="Z21" s="175"/>
      <c r="AA21" s="175"/>
      <c r="AB21" s="175"/>
      <c r="AC21" s="175"/>
      <c r="AO21">
        <v>0</v>
      </c>
      <c r="AP21">
        <v>0.04</v>
      </c>
      <c r="AQ21">
        <v>0</v>
      </c>
      <c r="AR21">
        <v>2.02</v>
      </c>
      <c r="AS21">
        <v>378</v>
      </c>
      <c r="AT21">
        <v>298.24</v>
      </c>
      <c r="AW21">
        <v>43709</v>
      </c>
      <c r="AX21">
        <v>1126.0999999999999</v>
      </c>
      <c r="AY21">
        <v>1726.8</v>
      </c>
      <c r="AZ21">
        <v>43253.23</v>
      </c>
      <c r="BA21">
        <v>2333</v>
      </c>
      <c r="BB21">
        <v>29068.3</v>
      </c>
      <c r="BC21">
        <v>278.05</v>
      </c>
      <c r="BD21">
        <v>254.26</v>
      </c>
      <c r="BE21">
        <v>4819.17</v>
      </c>
      <c r="BF21">
        <v>343.08</v>
      </c>
      <c r="BG21">
        <v>3553.11</v>
      </c>
      <c r="BH21">
        <v>0</v>
      </c>
      <c r="BI21">
        <v>0.23</v>
      </c>
      <c r="BJ21">
        <v>0</v>
      </c>
      <c r="BK21">
        <v>7.64</v>
      </c>
      <c r="BL21">
        <v>363.53</v>
      </c>
      <c r="BM21">
        <v>165.33</v>
      </c>
    </row>
    <row r="22" spans="1:65" customFormat="1" x14ac:dyDescent="0.25">
      <c r="A22" s="167" t="s">
        <v>215</v>
      </c>
      <c r="B22" s="119"/>
      <c r="C22" s="119"/>
      <c r="D22" s="119"/>
      <c r="E22" s="119"/>
      <c r="F22" s="119"/>
      <c r="H22" s="119">
        <f>SUM(H10:H21)</f>
        <v>221.63000000000005</v>
      </c>
      <c r="I22" s="119">
        <f>SUM(I10:I21)</f>
        <v>154.09</v>
      </c>
      <c r="J22" s="119">
        <f>SUM(J10:J21)</f>
        <v>3713.1099999999997</v>
      </c>
      <c r="K22" s="119">
        <f>SUM(K10:K21)</f>
        <v>372.75000000000006</v>
      </c>
      <c r="L22" s="119">
        <f>SUM(L10:L21)</f>
        <v>3690.1400000000003</v>
      </c>
      <c r="M22" s="169"/>
      <c r="P22" s="176"/>
      <c r="Q22" s="176"/>
      <c r="R22" s="176"/>
      <c r="S22" s="169"/>
      <c r="T22" s="175"/>
      <c r="U22" s="175"/>
      <c r="V22" s="175"/>
      <c r="W22" s="175"/>
      <c r="X22" s="175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O22">
        <f>SUM(AO10:AO21)</f>
        <v>2602.85</v>
      </c>
      <c r="AP22">
        <f t="shared" ref="AP22:AT22" si="0">SUM(AP10:AP21)</f>
        <v>2495.9499999999998</v>
      </c>
      <c r="AQ22">
        <f t="shared" si="0"/>
        <v>3523.4300000000003</v>
      </c>
      <c r="AR22">
        <f t="shared" si="0"/>
        <v>3397.2599999999998</v>
      </c>
      <c r="AS22">
        <f t="shared" si="0"/>
        <v>1505.3400000000001</v>
      </c>
      <c r="AT22">
        <f t="shared" si="0"/>
        <v>1384.48</v>
      </c>
      <c r="AW22" t="s">
        <v>19</v>
      </c>
      <c r="AX22">
        <f>SUM(AX10:AX21)</f>
        <v>12775.24</v>
      </c>
      <c r="AY22">
        <f t="shared" ref="AY22:BM22" si="1">SUM(AY10:AY21)</f>
        <v>18200.649999999998</v>
      </c>
      <c r="AZ22">
        <f t="shared" si="1"/>
        <v>457833.66</v>
      </c>
      <c r="BA22">
        <f t="shared" si="1"/>
        <v>29112.5</v>
      </c>
      <c r="BB22">
        <f t="shared" si="1"/>
        <v>359748.52</v>
      </c>
      <c r="BC22">
        <f t="shared" si="1"/>
        <v>318.43</v>
      </c>
      <c r="BD22">
        <f t="shared" si="1"/>
        <v>241.96999999999994</v>
      </c>
      <c r="BE22">
        <f t="shared" si="1"/>
        <v>5387.6200000000008</v>
      </c>
      <c r="BF22">
        <f t="shared" si="1"/>
        <v>492.20999999999992</v>
      </c>
      <c r="BG22">
        <f t="shared" si="1"/>
        <v>4912.7799999999988</v>
      </c>
      <c r="BH22">
        <f t="shared" si="1"/>
        <v>2602.86</v>
      </c>
      <c r="BI22">
        <f t="shared" si="1"/>
        <v>2495.92</v>
      </c>
      <c r="BJ22">
        <f t="shared" si="1"/>
        <v>3522.58</v>
      </c>
      <c r="BK22">
        <f t="shared" si="1"/>
        <v>3395.8799999999997</v>
      </c>
      <c r="BL22">
        <f t="shared" si="1"/>
        <v>1583.81</v>
      </c>
      <c r="BM22">
        <f t="shared" si="1"/>
        <v>1392.4899999999998</v>
      </c>
    </row>
    <row r="23" spans="1:65" customFormat="1" x14ac:dyDescent="0.25">
      <c r="A23" s="167"/>
      <c r="B23" s="228" t="s">
        <v>57</v>
      </c>
      <c r="C23" s="228"/>
      <c r="D23" s="228"/>
      <c r="E23" s="228"/>
      <c r="F23" s="228"/>
      <c r="R23" s="169"/>
      <c r="X23" s="169"/>
      <c r="Y23" s="8" t="s">
        <v>58</v>
      </c>
    </row>
    <row r="24" spans="1:65" ht="15" customHeight="1" x14ac:dyDescent="0.25">
      <c r="B24" s="228"/>
      <c r="C24" s="228"/>
      <c r="D24" s="228"/>
      <c r="E24" s="228"/>
      <c r="F24" s="228"/>
      <c r="Y24" s="8" t="s">
        <v>59</v>
      </c>
    </row>
    <row r="27" spans="1:65" x14ac:dyDescent="0.25">
      <c r="L27" s="132"/>
    </row>
    <row r="28" spans="1:65" x14ac:dyDescent="0.25">
      <c r="J28" s="132"/>
      <c r="L28" s="132"/>
    </row>
    <row r="29" spans="1:65" x14ac:dyDescent="0.25">
      <c r="C29" s="132"/>
      <c r="D29" s="132"/>
      <c r="E29" s="132"/>
      <c r="F29" s="132"/>
      <c r="J29" s="132"/>
      <c r="L29" s="132"/>
    </row>
    <row r="30" spans="1:65" x14ac:dyDescent="0.25">
      <c r="C30" s="132"/>
      <c r="D30" s="132"/>
      <c r="E30" s="132"/>
      <c r="F30" s="132"/>
      <c r="J30" s="132"/>
      <c r="L30" s="132"/>
    </row>
    <row r="31" spans="1:65" x14ac:dyDescent="0.25">
      <c r="B31" s="132"/>
      <c r="C31" s="132"/>
      <c r="D31" s="132"/>
      <c r="E31" s="132"/>
      <c r="F31" s="132"/>
    </row>
    <row r="32" spans="1:65" x14ac:dyDescent="0.25">
      <c r="B32" s="132"/>
      <c r="C32" s="132"/>
      <c r="D32" s="132"/>
      <c r="E32" s="132"/>
      <c r="F32" s="132"/>
    </row>
    <row r="33" spans="2:12" x14ac:dyDescent="0.25">
      <c r="B33" s="132"/>
      <c r="C33" s="132"/>
      <c r="D33" s="132"/>
      <c r="E33" s="132"/>
      <c r="F33" s="132"/>
      <c r="J33" s="132"/>
      <c r="L33" s="132"/>
    </row>
    <row r="34" spans="2:12" x14ac:dyDescent="0.25">
      <c r="B34" s="132"/>
      <c r="C34" s="132"/>
      <c r="D34" s="132"/>
      <c r="E34" s="132"/>
      <c r="F34" s="132"/>
      <c r="L34" s="132"/>
    </row>
    <row r="35" spans="2:12" x14ac:dyDescent="0.25">
      <c r="B35" s="132"/>
      <c r="C35" s="132"/>
      <c r="D35" s="132"/>
      <c r="E35" s="132"/>
      <c r="F35" s="132"/>
    </row>
    <row r="36" spans="2:12" x14ac:dyDescent="0.25">
      <c r="C36" s="132"/>
      <c r="D36" s="132"/>
      <c r="E36" s="132"/>
      <c r="F36" s="132"/>
      <c r="L36" s="132"/>
    </row>
    <row r="37" spans="2:12" x14ac:dyDescent="0.25">
      <c r="B37" s="132"/>
      <c r="C37" s="132"/>
      <c r="D37" s="132"/>
      <c r="E37" s="132"/>
      <c r="F37" s="132"/>
    </row>
    <row r="38" spans="2:12" x14ac:dyDescent="0.25">
      <c r="B38" s="132"/>
      <c r="C38" s="132"/>
      <c r="D38" s="132"/>
      <c r="E38" s="132"/>
      <c r="F38" s="132"/>
    </row>
    <row r="39" spans="2:12" x14ac:dyDescent="0.25">
      <c r="B39" s="132"/>
      <c r="C39" s="132"/>
      <c r="D39" s="132"/>
      <c r="E39" s="132"/>
      <c r="F39" s="132"/>
    </row>
    <row r="40" spans="2:12" x14ac:dyDescent="0.25">
      <c r="B40" s="132"/>
      <c r="C40" s="132"/>
      <c r="D40" s="132"/>
      <c r="E40" s="132"/>
      <c r="F40" s="132"/>
    </row>
    <row r="41" spans="2:12" x14ac:dyDescent="0.25">
      <c r="B41" s="132"/>
      <c r="C41" s="132"/>
      <c r="D41" s="132"/>
      <c r="E41" s="132"/>
      <c r="F41" s="132"/>
    </row>
  </sheetData>
  <mergeCells count="5">
    <mergeCell ref="B23:F24"/>
    <mergeCell ref="B8:F8"/>
    <mergeCell ref="H8:L8"/>
    <mergeCell ref="N8:R8"/>
    <mergeCell ref="T8:X8"/>
  </mergeCells>
  <pageMargins left="0.7" right="0.7" top="0.75" bottom="0.75" header="0.3" footer="0.3"/>
  <pageSetup scale="52" fitToWidth="4" fitToHeight="0" orientation="landscape" r:id="rId1"/>
  <headerFooter differentFirst="1">
    <oddFooter>&amp;CPage &amp;P of &amp;N</oddFooter>
    <firstFooter>&amp;CPage &amp;P of &amp;N</firstFooter>
  </headerFooter>
  <colBreaks count="2" manualBreakCount="2">
    <brk id="12" max="1048575" man="1"/>
    <brk id="2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43"/>
  <sheetViews>
    <sheetView topLeftCell="C1" zoomScale="80" zoomScaleNormal="80" workbookViewId="0">
      <selection activeCell="W21" sqref="W21"/>
    </sheetView>
  </sheetViews>
  <sheetFormatPr defaultRowHeight="15" x14ac:dyDescent="0.25"/>
  <cols>
    <col min="1" max="1" width="9.140625" style="42"/>
    <col min="2" max="2" width="38.28515625" style="42" customWidth="1"/>
    <col min="3" max="3" width="11.140625" style="42" customWidth="1"/>
    <col min="4" max="19" width="14.7109375" style="42" customWidth="1"/>
    <col min="20" max="20" width="11.140625" style="42" customWidth="1"/>
    <col min="21" max="21" width="10" style="42" customWidth="1"/>
    <col min="22" max="22" width="12" style="42" customWidth="1"/>
    <col min="23" max="23" width="13" style="42" customWidth="1"/>
    <col min="24" max="16384" width="9.140625" style="42"/>
  </cols>
  <sheetData>
    <row r="4" spans="1:23" x14ac:dyDescent="0.25">
      <c r="A4" s="61" t="s">
        <v>141</v>
      </c>
    </row>
    <row r="5" spans="1:23" x14ac:dyDescent="0.25">
      <c r="A5" s="61" t="s">
        <v>142</v>
      </c>
    </row>
    <row r="6" spans="1:23" x14ac:dyDescent="0.25">
      <c r="A6" s="61" t="s">
        <v>143</v>
      </c>
    </row>
    <row r="7" spans="1:23" x14ac:dyDescent="0.25">
      <c r="A7" s="61" t="s">
        <v>180</v>
      </c>
    </row>
    <row r="8" spans="1:23" x14ac:dyDescent="0.25">
      <c r="D8" s="133">
        <v>43374</v>
      </c>
      <c r="E8" s="133">
        <v>43405</v>
      </c>
      <c r="F8" s="134">
        <v>43435</v>
      </c>
      <c r="G8" s="134">
        <v>43466</v>
      </c>
      <c r="H8" s="134">
        <v>43497</v>
      </c>
      <c r="I8" s="134">
        <v>43525</v>
      </c>
      <c r="J8" s="133">
        <v>43556</v>
      </c>
      <c r="K8" s="133">
        <v>43586</v>
      </c>
      <c r="L8" s="133">
        <v>43617</v>
      </c>
      <c r="M8" s="133">
        <v>43647</v>
      </c>
      <c r="N8" s="133">
        <v>43678</v>
      </c>
      <c r="O8" s="133">
        <v>43709</v>
      </c>
      <c r="P8" s="133">
        <v>43739</v>
      </c>
      <c r="Q8" s="133">
        <v>43770</v>
      </c>
      <c r="R8" s="133">
        <v>43800</v>
      </c>
      <c r="S8" s="133">
        <v>43831</v>
      </c>
    </row>
    <row r="9" spans="1:23" x14ac:dyDescent="0.25">
      <c r="D9" s="135" t="s">
        <v>90</v>
      </c>
      <c r="E9" s="135" t="s">
        <v>91</v>
      </c>
      <c r="F9" s="136" t="s">
        <v>92</v>
      </c>
      <c r="G9" s="136" t="s">
        <v>93</v>
      </c>
      <c r="H9" s="136" t="s">
        <v>94</v>
      </c>
      <c r="I9" s="136" t="s">
        <v>95</v>
      </c>
      <c r="J9" s="135" t="s">
        <v>96</v>
      </c>
      <c r="K9" s="135" t="s">
        <v>97</v>
      </c>
      <c r="L9" s="135" t="s">
        <v>98</v>
      </c>
      <c r="M9" s="135" t="s">
        <v>99</v>
      </c>
      <c r="N9" s="135" t="s">
        <v>100</v>
      </c>
      <c r="O9" s="135" t="s">
        <v>101</v>
      </c>
      <c r="P9" s="135" t="s">
        <v>218</v>
      </c>
      <c r="Q9" s="135" t="s">
        <v>219</v>
      </c>
      <c r="R9" s="135" t="s">
        <v>220</v>
      </c>
      <c r="S9" s="135" t="s">
        <v>221</v>
      </c>
      <c r="V9" s="137" t="s">
        <v>66</v>
      </c>
      <c r="W9" s="138" t="s">
        <v>67</v>
      </c>
    </row>
    <row r="10" spans="1:23" x14ac:dyDescent="0.25">
      <c r="B10" s="115" t="s">
        <v>21</v>
      </c>
      <c r="C10" s="115" t="s">
        <v>172</v>
      </c>
      <c r="D10" s="162">
        <f>'WN Summary'!C15</f>
        <v>117424.058</v>
      </c>
      <c r="E10" s="162">
        <f>'WN Summary'!D15</f>
        <v>122975.02899999999</v>
      </c>
      <c r="F10" s="162">
        <f>'WN Summary'!E15</f>
        <v>159231.02600000001</v>
      </c>
      <c r="G10" s="162">
        <f>'WN Summary'!F15</f>
        <v>169750.136</v>
      </c>
      <c r="H10" s="162">
        <f>'WN Summary'!G15</f>
        <v>182365.08300000001</v>
      </c>
      <c r="I10" s="162">
        <f>'WN Summary'!H15</f>
        <v>177860.522</v>
      </c>
      <c r="J10" s="162">
        <f>'WN Summary'!I15</f>
        <v>113341.03</v>
      </c>
      <c r="K10" s="162">
        <f>'WN Summary'!J15</f>
        <v>89516.077000000005</v>
      </c>
      <c r="L10" s="162">
        <f>'WN Summary'!K15</f>
        <v>107205.905</v>
      </c>
      <c r="M10" s="162">
        <f>'WN Summary'!L15</f>
        <v>146264.764</v>
      </c>
      <c r="N10" s="162">
        <f>'WN Summary'!M15</f>
        <v>157355.75399999999</v>
      </c>
      <c r="O10" s="162">
        <f>'WN Summary'!N15</f>
        <v>155476.08199999999</v>
      </c>
      <c r="P10" s="162">
        <f>'WN Summary'!O15</f>
        <v>123272.534</v>
      </c>
      <c r="Q10" s="162">
        <f>'WN Summary'!P15</f>
        <v>122143.637</v>
      </c>
      <c r="R10" s="162">
        <f>'WN Summary'!Q15</f>
        <v>156046.26199999999</v>
      </c>
      <c r="S10" s="162">
        <f>'WN Summary'!R15</f>
        <v>168116.95300000001</v>
      </c>
      <c r="T10" s="139">
        <f>SUM(H10:S10)</f>
        <v>1698964.6029999999</v>
      </c>
      <c r="V10" s="140"/>
      <c r="W10" s="141"/>
    </row>
    <row r="11" spans="1:23" x14ac:dyDescent="0.25">
      <c r="B11" s="115" t="s">
        <v>22</v>
      </c>
      <c r="C11" s="115" t="s">
        <v>172</v>
      </c>
      <c r="D11" s="58">
        <f>'WN Summary'!C16</f>
        <v>103216.44710681013</v>
      </c>
      <c r="E11" s="58">
        <f>'WN Summary'!D16</f>
        <v>105649.7581010146</v>
      </c>
      <c r="F11" s="58">
        <f>'WN Summary'!E16</f>
        <v>151013.29497512805</v>
      </c>
      <c r="G11" s="58">
        <f>'WN Summary'!F16</f>
        <v>177827.27505466348</v>
      </c>
      <c r="H11" s="58">
        <f>'WN Summary'!G16</f>
        <v>187838.24966614813</v>
      </c>
      <c r="I11" s="58">
        <f>'WN Summary'!H16</f>
        <v>169750.88063138971</v>
      </c>
      <c r="J11" s="58">
        <f>'WN Summary'!I16</f>
        <v>111664.82691395919</v>
      </c>
      <c r="K11" s="58">
        <f>'WN Summary'!J16</f>
        <v>91992.218759836571</v>
      </c>
      <c r="L11" s="58">
        <f>'WN Summary'!K16</f>
        <v>108079.11866157394</v>
      </c>
      <c r="M11" s="58">
        <f>'WN Summary'!L16</f>
        <v>154056.11366179466</v>
      </c>
      <c r="N11" s="58">
        <f>'WN Summary'!M16</f>
        <v>163562.59915619181</v>
      </c>
      <c r="O11" s="58">
        <f>'WN Summary'!N16</f>
        <v>141667.86496909749</v>
      </c>
      <c r="P11" s="58">
        <f>'WN Summary'!O16</f>
        <v>104469.84989487266</v>
      </c>
      <c r="Q11" s="58">
        <f>'WN Summary'!P16</f>
        <v>106795.6058770653</v>
      </c>
      <c r="R11" s="58">
        <f>'WN Summary'!Q16</f>
        <v>152526.39864790381</v>
      </c>
      <c r="S11" s="58">
        <f>'WN Summary'!R16</f>
        <v>179595.03642414388</v>
      </c>
      <c r="V11" s="140"/>
      <c r="W11" s="141"/>
    </row>
    <row r="12" spans="1:23" x14ac:dyDescent="0.25">
      <c r="B12" s="42" t="s">
        <v>157</v>
      </c>
      <c r="C12" s="42" t="s">
        <v>172</v>
      </c>
      <c r="D12" s="35">
        <f>D11-D10</f>
        <v>-14207.610893189878</v>
      </c>
      <c r="E12" s="35">
        <f t="shared" ref="E12:O12" si="0">E11-E10</f>
        <v>-17325.2708989854</v>
      </c>
      <c r="F12" s="35">
        <f t="shared" si="0"/>
        <v>-8217.7310248719587</v>
      </c>
      <c r="G12" s="35">
        <f t="shared" si="0"/>
        <v>8077.1390546634793</v>
      </c>
      <c r="H12" s="35">
        <f t="shared" si="0"/>
        <v>5473.166666148114</v>
      </c>
      <c r="I12" s="35">
        <f t="shared" si="0"/>
        <v>-8109.6413686102896</v>
      </c>
      <c r="J12" s="35">
        <f t="shared" si="0"/>
        <v>-1676.2030860408122</v>
      </c>
      <c r="K12" s="35">
        <f t="shared" si="0"/>
        <v>2476.1417598365661</v>
      </c>
      <c r="L12" s="35">
        <f t="shared" si="0"/>
        <v>873.21366157394368</v>
      </c>
      <c r="M12" s="35">
        <f t="shared" si="0"/>
        <v>7791.3496617946657</v>
      </c>
      <c r="N12" s="35">
        <f t="shared" si="0"/>
        <v>6206.8451561918191</v>
      </c>
      <c r="O12" s="35">
        <f t="shared" si="0"/>
        <v>-13808.21703090251</v>
      </c>
      <c r="P12" s="188">
        <f t="shared" ref="P12:S12" si="1">P11-P10</f>
        <v>-18802.684105127337</v>
      </c>
      <c r="Q12" s="188">
        <f t="shared" si="1"/>
        <v>-15348.031122934699</v>
      </c>
      <c r="R12" s="188">
        <f t="shared" si="1"/>
        <v>-3519.8633520961739</v>
      </c>
      <c r="S12" s="188">
        <f t="shared" si="1"/>
        <v>11478.083424143872</v>
      </c>
      <c r="V12" s="140"/>
      <c r="W12" s="141"/>
    </row>
    <row r="13" spans="1:23" x14ac:dyDescent="0.25"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188"/>
      <c r="Q13" s="188"/>
      <c r="R13" s="188"/>
      <c r="S13" s="188"/>
      <c r="V13" s="140"/>
      <c r="W13" s="141"/>
    </row>
    <row r="14" spans="1:23" x14ac:dyDescent="0.25">
      <c r="B14" s="42" t="s">
        <v>158</v>
      </c>
      <c r="C14" s="42" t="s">
        <v>173</v>
      </c>
      <c r="D14" s="35">
        <f>D16-D15</f>
        <v>45756</v>
      </c>
      <c r="E14" s="35">
        <f t="shared" ref="E14:O14" si="2">E16-E15</f>
        <v>50185</v>
      </c>
      <c r="F14" s="35">
        <f t="shared" si="2"/>
        <v>42299</v>
      </c>
      <c r="G14" s="35">
        <f t="shared" si="2"/>
        <v>40337</v>
      </c>
      <c r="H14" s="35">
        <f t="shared" si="2"/>
        <v>39423</v>
      </c>
      <c r="I14" s="35">
        <f t="shared" si="2"/>
        <v>40414</v>
      </c>
      <c r="J14" s="35">
        <f t="shared" si="2"/>
        <v>55887</v>
      </c>
      <c r="K14" s="35">
        <f t="shared" si="2"/>
        <v>67849</v>
      </c>
      <c r="L14" s="35">
        <f t="shared" si="2"/>
        <v>54335</v>
      </c>
      <c r="M14" s="35">
        <f t="shared" si="2"/>
        <v>36614</v>
      </c>
      <c r="N14" s="35">
        <f t="shared" si="2"/>
        <v>30994</v>
      </c>
      <c r="O14" s="35">
        <f t="shared" si="2"/>
        <v>31298</v>
      </c>
      <c r="P14" s="188">
        <f t="shared" ref="P14:S14" si="3">P16-P15</f>
        <v>44223</v>
      </c>
      <c r="Q14" s="188">
        <f t="shared" si="3"/>
        <v>52813</v>
      </c>
      <c r="R14" s="188">
        <f t="shared" si="3"/>
        <v>43481</v>
      </c>
      <c r="S14" s="188">
        <f t="shared" si="3"/>
        <v>41380</v>
      </c>
      <c r="V14" s="140"/>
      <c r="W14" s="141"/>
    </row>
    <row r="15" spans="1:23" x14ac:dyDescent="0.25">
      <c r="B15" s="42" t="s">
        <v>159</v>
      </c>
      <c r="C15" s="42" t="s">
        <v>173</v>
      </c>
      <c r="D15" s="35">
        <f>'Bills Combined'!G13</f>
        <v>87195</v>
      </c>
      <c r="E15" s="35">
        <f>'Bills Combined'!H13</f>
        <v>82950</v>
      </c>
      <c r="F15" s="35">
        <f>'Bills Combined'!I13</f>
        <v>91520</v>
      </c>
      <c r="G15" s="35">
        <f>'Bills Combined'!J13</f>
        <v>93544</v>
      </c>
      <c r="H15" s="35">
        <f>'Bills Combined'!K13</f>
        <v>93553</v>
      </c>
      <c r="I15" s="35">
        <f>'Bills Combined'!L13</f>
        <v>93443</v>
      </c>
      <c r="J15" s="35">
        <f>'Bills Combined'!M13</f>
        <v>78011</v>
      </c>
      <c r="K15" s="35">
        <f>'Bills Combined'!N13</f>
        <v>66316</v>
      </c>
      <c r="L15" s="35">
        <f>'Bills Combined'!O13</f>
        <v>79367</v>
      </c>
      <c r="M15" s="35">
        <f>'Bills Combined'!P13</f>
        <v>97623</v>
      </c>
      <c r="N15" s="35">
        <f>'Bills Combined'!Q13</f>
        <v>102925</v>
      </c>
      <c r="O15" s="35">
        <f>'Bills Combined'!R13</f>
        <v>101512</v>
      </c>
      <c r="P15" s="188">
        <f>'Bills Combined'!S13</f>
        <v>89175</v>
      </c>
      <c r="Q15" s="188">
        <f>'Bills Combined'!T13</f>
        <v>80113</v>
      </c>
      <c r="R15" s="188">
        <f>'Bills Combined'!U13</f>
        <v>89910</v>
      </c>
      <c r="S15" s="188">
        <f>'Bills Combined'!V13</f>
        <v>92570</v>
      </c>
      <c r="V15" s="140"/>
      <c r="W15" s="141"/>
    </row>
    <row r="16" spans="1:23" x14ac:dyDescent="0.25">
      <c r="B16" s="42" t="s">
        <v>160</v>
      </c>
      <c r="C16" s="42" t="s">
        <v>173</v>
      </c>
      <c r="D16" s="35">
        <f>'Bills Combined'!G12</f>
        <v>132951</v>
      </c>
      <c r="E16" s="35">
        <f>'Bills Combined'!H12</f>
        <v>133135</v>
      </c>
      <c r="F16" s="35">
        <f>'Bills Combined'!I12</f>
        <v>133819</v>
      </c>
      <c r="G16" s="35">
        <f>'Bills Combined'!J12</f>
        <v>133881</v>
      </c>
      <c r="H16" s="35">
        <f>'Bills Combined'!K12</f>
        <v>132976</v>
      </c>
      <c r="I16" s="35">
        <f>'Bills Combined'!L12</f>
        <v>133857</v>
      </c>
      <c r="J16" s="35">
        <f>'Bills Combined'!M12</f>
        <v>133898</v>
      </c>
      <c r="K16" s="35">
        <f>'Bills Combined'!N12</f>
        <v>134165</v>
      </c>
      <c r="L16" s="35">
        <f>'Bills Combined'!O12</f>
        <v>133702</v>
      </c>
      <c r="M16" s="35">
        <f>'Bills Combined'!P12</f>
        <v>134237</v>
      </c>
      <c r="N16" s="35">
        <f>'Bills Combined'!Q12</f>
        <v>133919</v>
      </c>
      <c r="O16" s="35">
        <f>'Bills Combined'!R12</f>
        <v>132810</v>
      </c>
      <c r="P16" s="188">
        <f>'Bills Combined'!S12</f>
        <v>133398</v>
      </c>
      <c r="Q16" s="188">
        <f>'Bills Combined'!T12</f>
        <v>132926</v>
      </c>
      <c r="R16" s="188">
        <f>'Bills Combined'!U12</f>
        <v>133391</v>
      </c>
      <c r="S16" s="188">
        <f>'Bills Combined'!V12</f>
        <v>133950</v>
      </c>
      <c r="V16" s="140"/>
      <c r="W16" s="141"/>
    </row>
    <row r="17" spans="2:23" x14ac:dyDescent="0.25"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188"/>
      <c r="Q17" s="188"/>
      <c r="R17" s="188"/>
      <c r="S17" s="188"/>
      <c r="V17" s="140"/>
      <c r="W17" s="141"/>
    </row>
    <row r="18" spans="2:23" x14ac:dyDescent="0.25">
      <c r="B18" s="42" t="s">
        <v>161</v>
      </c>
      <c r="C18" s="42" t="s">
        <v>174</v>
      </c>
      <c r="D18" s="80">
        <f>D14/D$16</f>
        <v>0.34415686982422095</v>
      </c>
      <c r="E18" s="80">
        <f t="shared" ref="E18:O18" si="4">E14/E$16</f>
        <v>0.37694821046306382</v>
      </c>
      <c r="F18" s="80">
        <f t="shared" si="4"/>
        <v>0.31609113802972671</v>
      </c>
      <c r="G18" s="80">
        <f t="shared" si="4"/>
        <v>0.3012899515241147</v>
      </c>
      <c r="H18" s="80">
        <f t="shared" si="4"/>
        <v>0.29646703164480809</v>
      </c>
      <c r="I18" s="80">
        <f t="shared" si="4"/>
        <v>0.30191921229371643</v>
      </c>
      <c r="J18" s="80">
        <f t="shared" si="4"/>
        <v>0.41738487505414568</v>
      </c>
      <c r="K18" s="80">
        <f t="shared" si="4"/>
        <v>0.50571311444862665</v>
      </c>
      <c r="L18" s="80">
        <f t="shared" si="4"/>
        <v>0.40638883487158006</v>
      </c>
      <c r="M18" s="80">
        <f t="shared" si="4"/>
        <v>0.27275639354276393</v>
      </c>
      <c r="N18" s="80">
        <f t="shared" si="4"/>
        <v>0.23143840679813918</v>
      </c>
      <c r="O18" s="80">
        <f t="shared" si="4"/>
        <v>0.23565996536405392</v>
      </c>
      <c r="P18" s="80">
        <f t="shared" ref="P18:S18" si="5">P14/P$16</f>
        <v>0.33151171681734359</v>
      </c>
      <c r="Q18" s="80">
        <f t="shared" si="5"/>
        <v>0.39731128597866483</v>
      </c>
      <c r="R18" s="80">
        <f t="shared" si="5"/>
        <v>0.32596651948032473</v>
      </c>
      <c r="S18" s="80">
        <f t="shared" si="5"/>
        <v>0.30892123926838372</v>
      </c>
      <c r="V18" s="140"/>
      <c r="W18" s="141"/>
    </row>
    <row r="19" spans="2:23" x14ac:dyDescent="0.25">
      <c r="B19" s="42" t="s">
        <v>162</v>
      </c>
      <c r="C19" s="42" t="s">
        <v>174</v>
      </c>
      <c r="D19" s="80">
        <f>D15/D$16</f>
        <v>0.655843130175779</v>
      </c>
      <c r="E19" s="80">
        <f t="shared" ref="E19:O19" si="6">E15/E$16</f>
        <v>0.62305178953693618</v>
      </c>
      <c r="F19" s="80">
        <f t="shared" si="6"/>
        <v>0.68390886197027323</v>
      </c>
      <c r="G19" s="80">
        <f t="shared" si="6"/>
        <v>0.69871004847588525</v>
      </c>
      <c r="H19" s="80">
        <f t="shared" si="6"/>
        <v>0.70353296835519197</v>
      </c>
      <c r="I19" s="80">
        <f t="shared" si="6"/>
        <v>0.69808078770628357</v>
      </c>
      <c r="J19" s="80">
        <f t="shared" si="6"/>
        <v>0.58261512494585432</v>
      </c>
      <c r="K19" s="80">
        <f t="shared" si="6"/>
        <v>0.49428688555137329</v>
      </c>
      <c r="L19" s="80">
        <f t="shared" si="6"/>
        <v>0.59361116512841994</v>
      </c>
      <c r="M19" s="80">
        <f t="shared" si="6"/>
        <v>0.72724360645723607</v>
      </c>
      <c r="N19" s="80">
        <f t="shared" si="6"/>
        <v>0.76856159320186079</v>
      </c>
      <c r="O19" s="80">
        <f t="shared" si="6"/>
        <v>0.76434003463594613</v>
      </c>
      <c r="P19" s="80">
        <f t="shared" ref="P19:S19" si="7">P15/P$16</f>
        <v>0.66848828318265641</v>
      </c>
      <c r="Q19" s="80">
        <f t="shared" si="7"/>
        <v>0.60268871402133517</v>
      </c>
      <c r="R19" s="80">
        <f t="shared" si="7"/>
        <v>0.67403348051967527</v>
      </c>
      <c r="S19" s="80">
        <f t="shared" si="7"/>
        <v>0.69107876073161623</v>
      </c>
      <c r="V19" s="140"/>
      <c r="W19" s="141"/>
    </row>
    <row r="20" spans="2:23" x14ac:dyDescent="0.25">
      <c r="V20" s="140"/>
      <c r="W20" s="141"/>
    </row>
    <row r="21" spans="2:23" x14ac:dyDescent="0.25">
      <c r="B21" s="42" t="s">
        <v>168</v>
      </c>
      <c r="C21" s="42" t="s">
        <v>172</v>
      </c>
      <c r="D21" s="35">
        <f t="shared" ref="D21:O21" si="8">D12*D18</f>
        <v>-4889.646892680732</v>
      </c>
      <c r="E21" s="35">
        <f t="shared" si="8"/>
        <v>-6530.7298611603437</v>
      </c>
      <c r="F21" s="35">
        <f t="shared" si="8"/>
        <v>-2597.5519516739701</v>
      </c>
      <c r="G21" s="35">
        <f t="shared" si="8"/>
        <v>2433.5608342330934</v>
      </c>
      <c r="H21" s="35">
        <f t="shared" si="8"/>
        <v>1622.6134752102416</v>
      </c>
      <c r="I21" s="35">
        <f t="shared" si="8"/>
        <v>-2448.4565339953551</v>
      </c>
      <c r="J21" s="35">
        <f t="shared" si="8"/>
        <v>-699.62181563251784</v>
      </c>
      <c r="K21" s="35">
        <f t="shared" si="8"/>
        <v>1252.2173611832532</v>
      </c>
      <c r="L21" s="35">
        <f t="shared" si="8"/>
        <v>354.86428252098119</v>
      </c>
      <c r="M21" s="35">
        <f t="shared" si="8"/>
        <v>2125.1404345817464</v>
      </c>
      <c r="N21" s="35">
        <f t="shared" si="8"/>
        <v>1436.5023541917819</v>
      </c>
      <c r="O21" s="35">
        <f t="shared" si="8"/>
        <v>-3254.0439472418248</v>
      </c>
      <c r="P21" s="188">
        <f t="shared" ref="P21:S21" si="9">P12*P18</f>
        <v>-6233.3100884649411</v>
      </c>
      <c r="Q21" s="188">
        <f t="shared" si="9"/>
        <v>-6097.9459826937564</v>
      </c>
      <c r="R21" s="188">
        <f t="shared" si="9"/>
        <v>-1147.3576059291386</v>
      </c>
      <c r="S21" s="188">
        <f t="shared" si="9"/>
        <v>3545.8237558124179</v>
      </c>
      <c r="T21" s="139">
        <f>SUM(H21:S21)</f>
        <v>-9543.574310457112</v>
      </c>
      <c r="U21" s="139">
        <f>SUM(T21:T22)</f>
        <v>-26965.839736022845</v>
      </c>
      <c r="V21" s="142">
        <f>SUM(L21:O21)</f>
        <v>662.46312405268509</v>
      </c>
      <c r="W21" s="181">
        <f t="shared" ref="W21:W22" si="10">SUM(I21:L21,Q21:T21)</f>
        <v>-14784.050849191228</v>
      </c>
    </row>
    <row r="22" spans="2:23" x14ac:dyDescent="0.25">
      <c r="B22" s="42" t="s">
        <v>169</v>
      </c>
      <c r="C22" s="42" t="s">
        <v>172</v>
      </c>
      <c r="D22" s="35">
        <f t="shared" ref="D22" si="11">D19*D12</f>
        <v>-9317.9640005091442</v>
      </c>
      <c r="E22" s="35">
        <f t="shared" ref="E22:O22" si="12">E19*E12</f>
        <v>-10794.541037825056</v>
      </c>
      <c r="F22" s="35">
        <f t="shared" si="12"/>
        <v>-5620.1790731979881</v>
      </c>
      <c r="G22" s="35">
        <f t="shared" si="12"/>
        <v>5643.578220430386</v>
      </c>
      <c r="H22" s="35">
        <f t="shared" si="12"/>
        <v>3850.5531909378728</v>
      </c>
      <c r="I22" s="35">
        <f t="shared" si="12"/>
        <v>-5661.1848346149345</v>
      </c>
      <c r="J22" s="35">
        <f t="shared" si="12"/>
        <v>-976.58127040829436</v>
      </c>
      <c r="K22" s="35">
        <f t="shared" si="12"/>
        <v>1223.9243986533127</v>
      </c>
      <c r="L22" s="35">
        <f t="shared" si="12"/>
        <v>518.34937905296249</v>
      </c>
      <c r="M22" s="35">
        <f t="shared" si="12"/>
        <v>5666.2092272129194</v>
      </c>
      <c r="N22" s="35">
        <f t="shared" si="12"/>
        <v>4770.3428020000374</v>
      </c>
      <c r="O22" s="35">
        <f t="shared" si="12"/>
        <v>-10554.173083660686</v>
      </c>
      <c r="P22" s="188">
        <f t="shared" ref="P22:S22" si="13">P19*P12</f>
        <v>-12569.374016662396</v>
      </c>
      <c r="Q22" s="188">
        <f t="shared" si="13"/>
        <v>-9250.0851402409426</v>
      </c>
      <c r="R22" s="188">
        <f t="shared" si="13"/>
        <v>-2372.5057461670353</v>
      </c>
      <c r="S22" s="188">
        <f t="shared" si="13"/>
        <v>7932.2596683314532</v>
      </c>
      <c r="T22" s="139">
        <f>SUM(H22:S22)</f>
        <v>-17422.265425565733</v>
      </c>
      <c r="V22" s="142">
        <f>SUM(L22:O22)</f>
        <v>400.72832460523387</v>
      </c>
      <c r="W22" s="181">
        <f t="shared" si="10"/>
        <v>-26008.088970959208</v>
      </c>
    </row>
    <row r="23" spans="2:23" x14ac:dyDescent="0.25"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188"/>
      <c r="Q23" s="188"/>
      <c r="R23" s="188"/>
      <c r="S23" s="188"/>
      <c r="V23" s="140"/>
      <c r="W23" s="141"/>
    </row>
    <row r="24" spans="2:23" x14ac:dyDescent="0.25">
      <c r="B24" s="42" t="s">
        <v>170</v>
      </c>
      <c r="C24" s="42" t="s">
        <v>175</v>
      </c>
      <c r="D24" s="35">
        <f>'kWh Combined'!G12</f>
        <v>65590537.5</v>
      </c>
      <c r="E24" s="35">
        <f>'kWh Combined'!H12</f>
        <v>64526480</v>
      </c>
      <c r="F24" s="35">
        <f>'kWh Combined'!I12</f>
        <v>66782875</v>
      </c>
      <c r="G24" s="35">
        <f>'kWh Combined'!J12</f>
        <v>67675629</v>
      </c>
      <c r="H24" s="35">
        <f>'kWh Combined'!K12</f>
        <v>67915828</v>
      </c>
      <c r="I24" s="35">
        <f>'kWh Combined'!L12</f>
        <v>67884837</v>
      </c>
      <c r="J24" s="35">
        <f>'kWh Combined'!M12</f>
        <v>64030499</v>
      </c>
      <c r="K24" s="35">
        <f>'kWh Combined'!N12</f>
        <v>60708131.299999997</v>
      </c>
      <c r="L24" s="35">
        <f>'kWh Combined'!O12</f>
        <v>63855368</v>
      </c>
      <c r="M24" s="35">
        <f>'kWh Combined'!P12</f>
        <v>68637061.700000003</v>
      </c>
      <c r="N24" s="35">
        <f>'kWh Combined'!Q12</f>
        <v>69908549.700000003</v>
      </c>
      <c r="O24" s="35">
        <f>'kWh Combined'!R12</f>
        <v>69969245.900000006</v>
      </c>
      <c r="P24" s="188">
        <f>'kWh Combined'!S12</f>
        <v>66607553.200000003</v>
      </c>
      <c r="Q24" s="188">
        <f>'kWh Combined'!T12</f>
        <v>64337308.899999999</v>
      </c>
      <c r="R24" s="188">
        <f>'kWh Combined'!U12</f>
        <v>67234507</v>
      </c>
      <c r="S24" s="188">
        <f>'kWh Combined'!V12</f>
        <v>67901404</v>
      </c>
      <c r="V24" s="140"/>
      <c r="W24" s="141"/>
    </row>
    <row r="25" spans="2:23" x14ac:dyDescent="0.25">
      <c r="B25" s="42" t="s">
        <v>171</v>
      </c>
      <c r="C25" s="42" t="s">
        <v>175</v>
      </c>
      <c r="D25" s="35">
        <f>'kWh Combined'!G13</f>
        <v>51833520.5</v>
      </c>
      <c r="E25" s="35">
        <f>'kWh Combined'!H13</f>
        <v>58448549</v>
      </c>
      <c r="F25" s="35">
        <f>'kWh Combined'!I13</f>
        <v>92448151</v>
      </c>
      <c r="G25" s="35">
        <f>'kWh Combined'!J13</f>
        <v>102074507</v>
      </c>
      <c r="H25" s="35">
        <f>'kWh Combined'!K13</f>
        <v>114449255</v>
      </c>
      <c r="I25" s="35">
        <f>'kWh Combined'!L13</f>
        <v>109975685</v>
      </c>
      <c r="J25" s="35">
        <f>'kWh Combined'!M13</f>
        <v>49310531</v>
      </c>
      <c r="K25" s="35">
        <f>'kWh Combined'!N13</f>
        <v>28807945.700000003</v>
      </c>
      <c r="L25" s="35">
        <f>'kWh Combined'!O13</f>
        <v>43350537</v>
      </c>
      <c r="M25" s="35">
        <f>'kWh Combined'!P13</f>
        <v>77627702.299999997</v>
      </c>
      <c r="N25" s="35">
        <f>'kWh Combined'!Q13</f>
        <v>87447204.299999997</v>
      </c>
      <c r="O25" s="35">
        <f>'kWh Combined'!R13</f>
        <v>85506836.099999994</v>
      </c>
      <c r="P25" s="188">
        <f>'kWh Combined'!S13</f>
        <v>56664980.799999997</v>
      </c>
      <c r="Q25" s="188">
        <f>'kWh Combined'!T13</f>
        <v>57806328.100000001</v>
      </c>
      <c r="R25" s="188">
        <f>'kWh Combined'!U13</f>
        <v>88811755</v>
      </c>
      <c r="S25" s="188">
        <f>'kWh Combined'!V13</f>
        <v>100215549</v>
      </c>
      <c r="V25" s="140"/>
      <c r="W25" s="141"/>
    </row>
    <row r="26" spans="2:23" x14ac:dyDescent="0.25"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188"/>
      <c r="Q26" s="188"/>
      <c r="R26" s="188"/>
      <c r="S26" s="188"/>
      <c r="V26" s="140"/>
      <c r="W26" s="141"/>
    </row>
    <row r="27" spans="2:23" x14ac:dyDescent="0.25">
      <c r="B27" s="42" t="s">
        <v>163</v>
      </c>
      <c r="C27" s="42" t="s">
        <v>174</v>
      </c>
      <c r="D27" s="34">
        <f t="shared" ref="D27:I27" si="14">D24/SUM(D24:D25)</f>
        <v>0.55857835793751909</v>
      </c>
      <c r="E27" s="34">
        <f t="shared" si="14"/>
        <v>0.52471205353405526</v>
      </c>
      <c r="F27" s="34">
        <f t="shared" si="14"/>
        <v>0.41940868358155275</v>
      </c>
      <c r="G27" s="34">
        <f t="shared" si="14"/>
        <v>0.3986779073920742</v>
      </c>
      <c r="H27" s="34">
        <f t="shared" si="14"/>
        <v>0.37241684034437667</v>
      </c>
      <c r="I27" s="34">
        <f t="shared" si="14"/>
        <v>0.38167456294770125</v>
      </c>
      <c r="J27" s="34">
        <f t="shared" ref="J27:K27" si="15">J24/SUM(J24:J25)</f>
        <v>0.56493662533329725</v>
      </c>
      <c r="K27" s="34">
        <f t="shared" si="15"/>
        <v>0.67818132043476387</v>
      </c>
      <c r="L27" s="34">
        <f>L24/SUM(L24:L25)</f>
        <v>0.5956329364506554</v>
      </c>
      <c r="M27" s="34">
        <f>M24/SUM(M24:M25)</f>
        <v>0.46926586980306484</v>
      </c>
      <c r="N27" s="34">
        <f>N24/SUM(N24:N25)</f>
        <v>0.44427069187441348</v>
      </c>
      <c r="O27" s="34">
        <f>O24/SUM(O24:O25)</f>
        <v>0.45003221717408604</v>
      </c>
      <c r="P27" s="34">
        <f t="shared" ref="P27:S27" si="16">P24/SUM(P24:P25)</f>
        <v>0.54032760614785447</v>
      </c>
      <c r="Q27" s="34">
        <f t="shared" si="16"/>
        <v>0.52673483842633573</v>
      </c>
      <c r="R27" s="34">
        <f t="shared" si="16"/>
        <v>0.43086265661397261</v>
      </c>
      <c r="S27" s="34">
        <f t="shared" si="16"/>
        <v>0.40389385358417718</v>
      </c>
      <c r="V27" s="140"/>
      <c r="W27" s="141"/>
    </row>
    <row r="28" spans="2:23" x14ac:dyDescent="0.25">
      <c r="B28" s="42" t="s">
        <v>164</v>
      </c>
      <c r="C28" s="42" t="s">
        <v>174</v>
      </c>
      <c r="D28" s="34">
        <f t="shared" ref="D28:I28" si="17">D25/SUM(D24:D25)</f>
        <v>0.44142164206248091</v>
      </c>
      <c r="E28" s="34">
        <f t="shared" si="17"/>
        <v>0.47528794646594474</v>
      </c>
      <c r="F28" s="34">
        <f t="shared" si="17"/>
        <v>0.58059131641844719</v>
      </c>
      <c r="G28" s="34">
        <f t="shared" si="17"/>
        <v>0.6013220926079258</v>
      </c>
      <c r="H28" s="34">
        <f t="shared" si="17"/>
        <v>0.62758315965562328</v>
      </c>
      <c r="I28" s="34">
        <f t="shared" si="17"/>
        <v>0.61832543705229881</v>
      </c>
      <c r="J28" s="34">
        <f t="shared" ref="J28:K28" si="18">J25/SUM(J24:J25)</f>
        <v>0.43506337466670281</v>
      </c>
      <c r="K28" s="34">
        <f t="shared" si="18"/>
        <v>0.32181867956523613</v>
      </c>
      <c r="L28" s="34">
        <f>L25/SUM(L24:L25)</f>
        <v>0.4043670635493446</v>
      </c>
      <c r="M28" s="34">
        <f>M25/SUM(M24:M25)</f>
        <v>0.53073413019693516</v>
      </c>
      <c r="N28" s="34">
        <f>N25/SUM(N24:N25)</f>
        <v>0.55572930812558652</v>
      </c>
      <c r="O28" s="34">
        <f>O25/SUM(O24:O25)</f>
        <v>0.54996778282591396</v>
      </c>
      <c r="P28" s="34">
        <f t="shared" ref="P28:S28" si="19">P25/SUM(P24:P25)</f>
        <v>0.45967239385214548</v>
      </c>
      <c r="Q28" s="34">
        <f t="shared" si="19"/>
        <v>0.47326516157366433</v>
      </c>
      <c r="R28" s="34">
        <f t="shared" si="19"/>
        <v>0.56913734338602739</v>
      </c>
      <c r="S28" s="34">
        <f t="shared" si="19"/>
        <v>0.59610614641582282</v>
      </c>
      <c r="V28" s="140"/>
      <c r="W28" s="141"/>
    </row>
    <row r="29" spans="2:23" x14ac:dyDescent="0.25">
      <c r="V29" s="140"/>
      <c r="W29" s="141"/>
    </row>
    <row r="30" spans="2:23" x14ac:dyDescent="0.25">
      <c r="B30" s="42" t="s">
        <v>165</v>
      </c>
      <c r="C30" s="42" t="s">
        <v>172</v>
      </c>
      <c r="D30" s="35">
        <f t="shared" ref="D30:O30" si="20">D10*D27</f>
        <v>65590.537500000006</v>
      </c>
      <c r="E30" s="35">
        <f t="shared" si="20"/>
        <v>64526.479999999996</v>
      </c>
      <c r="F30" s="35">
        <f t="shared" si="20"/>
        <v>66782.875</v>
      </c>
      <c r="G30" s="35">
        <f t="shared" si="20"/>
        <v>67675.629000000001</v>
      </c>
      <c r="H30" s="35">
        <f t="shared" si="20"/>
        <v>67915.828000000009</v>
      </c>
      <c r="I30" s="35">
        <f t="shared" si="20"/>
        <v>67884.837</v>
      </c>
      <c r="J30" s="35">
        <f t="shared" si="20"/>
        <v>64030.499000000003</v>
      </c>
      <c r="K30" s="35">
        <f t="shared" si="20"/>
        <v>60708.131300000001</v>
      </c>
      <c r="L30" s="35">
        <f t="shared" si="20"/>
        <v>63855.368000000002</v>
      </c>
      <c r="M30" s="35">
        <f t="shared" si="20"/>
        <v>68637.061700000006</v>
      </c>
      <c r="N30" s="35">
        <f t="shared" si="20"/>
        <v>69908.549700000003</v>
      </c>
      <c r="O30" s="35">
        <f t="shared" si="20"/>
        <v>69969.245900000009</v>
      </c>
      <c r="P30" s="188">
        <f t="shared" ref="P30:S30" si="21">P10*P27</f>
        <v>66607.553199999995</v>
      </c>
      <c r="Q30" s="188">
        <f t="shared" si="21"/>
        <v>64337.308900000004</v>
      </c>
      <c r="R30" s="188">
        <f t="shared" si="21"/>
        <v>67234.506999999998</v>
      </c>
      <c r="S30" s="188">
        <f t="shared" si="21"/>
        <v>67901.403999999995</v>
      </c>
      <c r="V30" s="140"/>
      <c r="W30" s="141"/>
    </row>
    <row r="31" spans="2:23" x14ac:dyDescent="0.25">
      <c r="B31" s="42" t="s">
        <v>166</v>
      </c>
      <c r="C31" s="42" t="s">
        <v>172</v>
      </c>
      <c r="D31" s="35">
        <f t="shared" ref="D31:O31" si="22">D10*D28</f>
        <v>51833.520499999999</v>
      </c>
      <c r="E31" s="35">
        <f t="shared" si="22"/>
        <v>58448.548999999999</v>
      </c>
      <c r="F31" s="35">
        <f t="shared" si="22"/>
        <v>92448.150999999998</v>
      </c>
      <c r="G31" s="35">
        <f t="shared" si="22"/>
        <v>102074.507</v>
      </c>
      <c r="H31" s="35">
        <f t="shared" si="22"/>
        <v>114449.255</v>
      </c>
      <c r="I31" s="35">
        <f t="shared" si="22"/>
        <v>109975.68500000001</v>
      </c>
      <c r="J31" s="35">
        <f t="shared" si="22"/>
        <v>49310.531000000003</v>
      </c>
      <c r="K31" s="35">
        <f t="shared" si="22"/>
        <v>28807.945700000004</v>
      </c>
      <c r="L31" s="35">
        <f t="shared" si="22"/>
        <v>43350.536999999997</v>
      </c>
      <c r="M31" s="35">
        <f t="shared" si="22"/>
        <v>77627.70229999999</v>
      </c>
      <c r="N31" s="35">
        <f t="shared" si="22"/>
        <v>87447.204299999983</v>
      </c>
      <c r="O31" s="35">
        <f t="shared" si="22"/>
        <v>85506.836099999986</v>
      </c>
      <c r="P31" s="188">
        <f t="shared" ref="P31:S31" si="23">P10*P28</f>
        <v>56664.980799999998</v>
      </c>
      <c r="Q31" s="188">
        <f t="shared" si="23"/>
        <v>57806.328100000006</v>
      </c>
      <c r="R31" s="188">
        <f t="shared" si="23"/>
        <v>88811.75499999999</v>
      </c>
      <c r="S31" s="188">
        <f t="shared" si="23"/>
        <v>100215.54900000001</v>
      </c>
      <c r="T31" s="139">
        <f>SUM(H31:S31)</f>
        <v>899974.30930000008</v>
      </c>
      <c r="U31" s="139">
        <f>T34-T31</f>
        <v>-17422.265425565769</v>
      </c>
      <c r="V31" s="140"/>
      <c r="W31" s="141"/>
    </row>
    <row r="32" spans="2:23" x14ac:dyDescent="0.25">
      <c r="V32" s="140"/>
      <c r="W32" s="141"/>
    </row>
    <row r="33" spans="2:23" x14ac:dyDescent="0.25">
      <c r="B33" s="42" t="s">
        <v>167</v>
      </c>
      <c r="C33" s="42" t="s">
        <v>172</v>
      </c>
      <c r="D33" s="139">
        <f t="shared" ref="D33:O33" si="24">SUM(D21,D30)</f>
        <v>60700.890607319277</v>
      </c>
      <c r="E33" s="139">
        <f t="shared" si="24"/>
        <v>57995.750138839649</v>
      </c>
      <c r="F33" s="139">
        <f t="shared" si="24"/>
        <v>64185.323048326027</v>
      </c>
      <c r="G33" s="139">
        <f t="shared" si="24"/>
        <v>70109.189834233097</v>
      </c>
      <c r="H33" s="139">
        <f t="shared" si="24"/>
        <v>69538.441475210246</v>
      </c>
      <c r="I33" s="139">
        <f t="shared" si="24"/>
        <v>65436.380466004644</v>
      </c>
      <c r="J33" s="139">
        <f t="shared" si="24"/>
        <v>63330.877184367484</v>
      </c>
      <c r="K33" s="139">
        <f t="shared" si="24"/>
        <v>61960.348661183256</v>
      </c>
      <c r="L33" s="139">
        <f t="shared" si="24"/>
        <v>64210.232282520985</v>
      </c>
      <c r="M33" s="139">
        <f t="shared" si="24"/>
        <v>70762.202134581748</v>
      </c>
      <c r="N33" s="139">
        <f t="shared" si="24"/>
        <v>71345.052054191779</v>
      </c>
      <c r="O33" s="139">
        <f t="shared" si="24"/>
        <v>66715.201952758187</v>
      </c>
      <c r="P33" s="139">
        <f t="shared" ref="P33:S33" si="25">SUM(P21,P30)</f>
        <v>60374.243111535056</v>
      </c>
      <c r="Q33" s="139">
        <f t="shared" si="25"/>
        <v>58239.362917306251</v>
      </c>
      <c r="R33" s="139">
        <f t="shared" si="25"/>
        <v>66087.149394070861</v>
      </c>
      <c r="S33" s="139">
        <f t="shared" si="25"/>
        <v>71447.227755812419</v>
      </c>
      <c r="V33" s="142"/>
      <c r="W33" s="143"/>
    </row>
    <row r="34" spans="2:23" x14ac:dyDescent="0.25">
      <c r="B34" s="42" t="s">
        <v>110</v>
      </c>
      <c r="C34" s="42" t="s">
        <v>172</v>
      </c>
      <c r="D34" s="139">
        <f t="shared" ref="D34:O34" si="26">SUM(D22,D31)</f>
        <v>42515.556499490856</v>
      </c>
      <c r="E34" s="139">
        <f t="shared" si="26"/>
        <v>47654.007962174946</v>
      </c>
      <c r="F34" s="139">
        <f t="shared" si="26"/>
        <v>86827.971926802013</v>
      </c>
      <c r="G34" s="139">
        <f t="shared" si="26"/>
        <v>107718.08522043038</v>
      </c>
      <c r="H34" s="139">
        <f t="shared" si="26"/>
        <v>118299.80819093788</v>
      </c>
      <c r="I34" s="139">
        <f t="shared" si="26"/>
        <v>104314.50016538508</v>
      </c>
      <c r="J34" s="139">
        <f t="shared" si="26"/>
        <v>48333.94972959171</v>
      </c>
      <c r="K34" s="139">
        <f t="shared" si="26"/>
        <v>30031.870098653315</v>
      </c>
      <c r="L34" s="139">
        <f t="shared" si="26"/>
        <v>43868.886379052958</v>
      </c>
      <c r="M34" s="139">
        <f t="shared" si="26"/>
        <v>83293.911527212913</v>
      </c>
      <c r="N34" s="139">
        <f t="shared" si="26"/>
        <v>92217.547102000026</v>
      </c>
      <c r="O34" s="139">
        <f t="shared" si="26"/>
        <v>74952.663016339298</v>
      </c>
      <c r="P34" s="139">
        <f t="shared" ref="P34:S34" si="27">SUM(P22,P31)</f>
        <v>44095.6067833376</v>
      </c>
      <c r="Q34" s="139">
        <f t="shared" si="27"/>
        <v>48556.242959759067</v>
      </c>
      <c r="R34" s="139">
        <f t="shared" si="27"/>
        <v>86439.249253832953</v>
      </c>
      <c r="S34" s="139">
        <f t="shared" si="27"/>
        <v>108147.80866833146</v>
      </c>
      <c r="T34" s="139">
        <f>SUM(H34:S34)</f>
        <v>882552.04387443431</v>
      </c>
      <c r="V34" s="142"/>
      <c r="W34" s="143"/>
    </row>
    <row r="35" spans="2:23" x14ac:dyDescent="0.25">
      <c r="V35" s="140"/>
      <c r="W35" s="141"/>
    </row>
    <row r="36" spans="2:23" x14ac:dyDescent="0.25">
      <c r="B36" s="42" t="s">
        <v>111</v>
      </c>
      <c r="D36" s="115">
        <f>'WN Summary'!C18</f>
        <v>129782</v>
      </c>
      <c r="E36" s="115">
        <f>'WN Summary'!D18</f>
        <v>130374</v>
      </c>
      <c r="F36" s="115">
        <f>'WN Summary'!E18</f>
        <v>130643</v>
      </c>
      <c r="G36" s="115">
        <f>'WN Summary'!F18</f>
        <v>130773</v>
      </c>
      <c r="H36" s="115">
        <f>'WN Summary'!G18</f>
        <v>130849</v>
      </c>
      <c r="I36" s="115">
        <f>'WN Summary'!H18</f>
        <v>130887</v>
      </c>
      <c r="J36" s="115">
        <f>'WN Summary'!I18</f>
        <v>130759</v>
      </c>
      <c r="K36" s="115">
        <f>'WN Summary'!J18</f>
        <v>130718</v>
      </c>
      <c r="L36" s="115">
        <f>'WN Summary'!K18</f>
        <v>130903</v>
      </c>
      <c r="M36" s="115">
        <f>'WN Summary'!L18</f>
        <v>130896</v>
      </c>
      <c r="N36" s="115">
        <f>'WN Summary'!M18</f>
        <v>131173</v>
      </c>
      <c r="O36" s="115">
        <f>'WN Summary'!N18</f>
        <v>131203</v>
      </c>
      <c r="P36" s="115">
        <f>'WN Summary'!O18</f>
        <v>131358</v>
      </c>
      <c r="Q36" s="115">
        <f>'WN Summary'!P18</f>
        <v>131788</v>
      </c>
      <c r="R36" s="115">
        <f>'WN Summary'!Q18</f>
        <v>131952</v>
      </c>
      <c r="S36" s="115">
        <f>'WN Summary'!R18</f>
        <v>132073</v>
      </c>
      <c r="V36" s="140"/>
      <c r="W36" s="141"/>
    </row>
    <row r="37" spans="2:23" x14ac:dyDescent="0.25">
      <c r="B37" s="42" t="s">
        <v>133</v>
      </c>
      <c r="C37" s="42" t="s">
        <v>175</v>
      </c>
      <c r="D37" s="35">
        <f>(SUM(D33:D34)/D36)*1000</f>
        <v>795.3063376031356</v>
      </c>
      <c r="E37" s="35">
        <f t="shared" ref="E37:O37" si="28">(SUM(E33:E34)/E36)*1000</f>
        <v>810.3591061178962</v>
      </c>
      <c r="F37" s="35">
        <f t="shared" si="28"/>
        <v>1155.9233558256319</v>
      </c>
      <c r="G37" s="35">
        <f t="shared" si="28"/>
        <v>1359.8164380618589</v>
      </c>
      <c r="H37" s="35">
        <f t="shared" si="28"/>
        <v>1435.5344684800657</v>
      </c>
      <c r="I37" s="35">
        <f t="shared" si="28"/>
        <v>1296.9269723608129</v>
      </c>
      <c r="J37" s="35">
        <f t="shared" si="28"/>
        <v>853.97431086165545</v>
      </c>
      <c r="K37" s="35">
        <f t="shared" si="28"/>
        <v>703.74561085570895</v>
      </c>
      <c r="L37" s="35">
        <f t="shared" si="28"/>
        <v>825.6427939892435</v>
      </c>
      <c r="M37" s="35">
        <f t="shared" si="28"/>
        <v>1176.9352284393308</v>
      </c>
      <c r="N37" s="35">
        <f t="shared" si="28"/>
        <v>1246.9227596852386</v>
      </c>
      <c r="O37" s="35">
        <f t="shared" si="28"/>
        <v>1079.7608665129417</v>
      </c>
      <c r="P37" s="188">
        <f t="shared" ref="P37:S37" si="29">(SUM(P33:P34)/P36)*1000</f>
        <v>795.30633760313538</v>
      </c>
      <c r="Q37" s="188">
        <f t="shared" si="29"/>
        <v>810.35910611789632</v>
      </c>
      <c r="R37" s="188">
        <f t="shared" si="29"/>
        <v>1155.9233558256321</v>
      </c>
      <c r="S37" s="188">
        <f t="shared" si="29"/>
        <v>1359.8164380618589</v>
      </c>
      <c r="V37" s="140"/>
      <c r="W37" s="141"/>
    </row>
    <row r="38" spans="2:23" x14ac:dyDescent="0.25">
      <c r="V38" s="140"/>
      <c r="W38" s="141"/>
    </row>
    <row r="39" spans="2:23" x14ac:dyDescent="0.25">
      <c r="B39" s="42" t="s">
        <v>112</v>
      </c>
      <c r="C39" s="42" t="s">
        <v>175</v>
      </c>
      <c r="D39" s="139">
        <f>(D33/D36)*1000</f>
        <v>467.7142485654349</v>
      </c>
      <c r="E39" s="139">
        <f t="shared" ref="E39:O39" si="30">(E33/E36)*1000</f>
        <v>444.84138048107479</v>
      </c>
      <c r="F39" s="139">
        <f t="shared" si="30"/>
        <v>491.30319304001</v>
      </c>
      <c r="G39" s="139">
        <f t="shared" si="30"/>
        <v>536.11364604492599</v>
      </c>
      <c r="H39" s="139">
        <f>(H33/H36)*1000</f>
        <v>531.44037382945419</v>
      </c>
      <c r="I39" s="139">
        <f t="shared" si="30"/>
        <v>499.94560549179556</v>
      </c>
      <c r="J39" s="139">
        <f t="shared" si="30"/>
        <v>484.33283509637948</v>
      </c>
      <c r="K39" s="139">
        <f t="shared" si="30"/>
        <v>474.00012745898232</v>
      </c>
      <c r="L39" s="139">
        <f t="shared" si="30"/>
        <v>490.51765263226196</v>
      </c>
      <c r="M39" s="139">
        <f t="shared" si="30"/>
        <v>540.59865950511664</v>
      </c>
      <c r="N39" s="139">
        <f t="shared" si="30"/>
        <v>543.90043724083296</v>
      </c>
      <c r="O39" s="139">
        <f t="shared" si="30"/>
        <v>508.48838786276372</v>
      </c>
      <c r="P39" s="139">
        <f t="shared" ref="P39:S39" si="31">(P33/P36)*1000</f>
        <v>459.61603489345953</v>
      </c>
      <c r="Q39" s="139">
        <f t="shared" si="31"/>
        <v>441.91704037777532</v>
      </c>
      <c r="R39" s="139">
        <f t="shared" si="31"/>
        <v>500.84234717223586</v>
      </c>
      <c r="S39" s="139">
        <f t="shared" si="31"/>
        <v>540.96770540392367</v>
      </c>
      <c r="V39" s="140"/>
      <c r="W39" s="141"/>
    </row>
    <row r="40" spans="2:23" x14ac:dyDescent="0.25">
      <c r="B40" s="42" t="s">
        <v>113</v>
      </c>
      <c r="C40" s="42" t="s">
        <v>175</v>
      </c>
      <c r="D40" s="139">
        <f>(D34/D36)*1000</f>
        <v>327.59208903770059</v>
      </c>
      <c r="E40" s="139">
        <f t="shared" ref="E40:O40" si="32">(E34/E36)*1000</f>
        <v>365.51772563682135</v>
      </c>
      <c r="F40" s="139">
        <f t="shared" si="32"/>
        <v>664.62016278562191</v>
      </c>
      <c r="G40" s="139">
        <f t="shared" si="32"/>
        <v>823.70279201693302</v>
      </c>
      <c r="H40" s="139">
        <f t="shared" si="32"/>
        <v>904.09409465061162</v>
      </c>
      <c r="I40" s="139">
        <f t="shared" si="32"/>
        <v>796.98136686901728</v>
      </c>
      <c r="J40" s="139">
        <f t="shared" si="32"/>
        <v>369.64147576527591</v>
      </c>
      <c r="K40" s="139">
        <f t="shared" si="32"/>
        <v>229.74548339672666</v>
      </c>
      <c r="L40" s="139">
        <f t="shared" si="32"/>
        <v>335.12514135698154</v>
      </c>
      <c r="M40" s="139">
        <f t="shared" si="32"/>
        <v>636.33656893421426</v>
      </c>
      <c r="N40" s="139">
        <f t="shared" si="32"/>
        <v>703.02232244440563</v>
      </c>
      <c r="O40" s="139">
        <f t="shared" si="32"/>
        <v>571.27247865017796</v>
      </c>
      <c r="P40" s="139">
        <f t="shared" ref="P40:S40" si="33">(P34/P36)*1000</f>
        <v>335.69030270967585</v>
      </c>
      <c r="Q40" s="139">
        <f t="shared" si="33"/>
        <v>368.442065740121</v>
      </c>
      <c r="R40" s="139">
        <f t="shared" si="33"/>
        <v>655.08100865339634</v>
      </c>
      <c r="S40" s="139">
        <f t="shared" si="33"/>
        <v>818.8487326579351</v>
      </c>
      <c r="V40" s="140"/>
      <c r="W40" s="141"/>
    </row>
    <row r="42" spans="2:23" x14ac:dyDescent="0.25">
      <c r="D42" s="139"/>
    </row>
    <row r="43" spans="2:23" x14ac:dyDescent="0.25">
      <c r="D43" s="115"/>
    </row>
  </sheetData>
  <pageMargins left="0.7" right="0.7" top="0.75" bottom="0.75" header="0.3" footer="0.3"/>
  <pageSetup scale="65" fitToHeight="0" orientation="landscape" r:id="rId1"/>
  <headerFooter differentFirst="1">
    <oddFooter>&amp;CPage &amp;P of &amp;N</oddFooter>
    <firstFooter>&amp;CPage &amp;P of &amp;N</firstFooter>
  </headerFooter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47"/>
  <sheetViews>
    <sheetView topLeftCell="B6" zoomScale="80" zoomScaleNormal="80" workbookViewId="0">
      <selection activeCell="W20" sqref="W20"/>
    </sheetView>
  </sheetViews>
  <sheetFormatPr defaultRowHeight="15" x14ac:dyDescent="0.25"/>
  <cols>
    <col min="1" max="1" width="7.7109375" style="42" customWidth="1"/>
    <col min="2" max="2" width="38.28515625" style="42" customWidth="1"/>
    <col min="3" max="3" width="3.5703125" style="42" customWidth="1"/>
    <col min="4" max="19" width="14.7109375" style="42" customWidth="1"/>
    <col min="20" max="20" width="10.140625" style="42" customWidth="1"/>
    <col min="21" max="21" width="10" style="42" customWidth="1"/>
    <col min="22" max="22" width="11.140625" style="42" customWidth="1"/>
    <col min="23" max="23" width="13" style="42" customWidth="1"/>
    <col min="24" max="26" width="9.140625" style="42" customWidth="1"/>
    <col min="27" max="16384" width="9.140625" style="42"/>
  </cols>
  <sheetData>
    <row r="4" spans="1:26" x14ac:dyDescent="0.25">
      <c r="A4" s="61" t="s">
        <v>141</v>
      </c>
    </row>
    <row r="5" spans="1:26" x14ac:dyDescent="0.25">
      <c r="A5" s="61" t="s">
        <v>142</v>
      </c>
    </row>
    <row r="6" spans="1:26" x14ac:dyDescent="0.25">
      <c r="A6" s="61" t="s">
        <v>143</v>
      </c>
    </row>
    <row r="7" spans="1:26" x14ac:dyDescent="0.25">
      <c r="A7" s="61" t="s">
        <v>183</v>
      </c>
    </row>
    <row r="8" spans="1:26" x14ac:dyDescent="0.25">
      <c r="D8" s="133">
        <v>43374</v>
      </c>
      <c r="E8" s="133">
        <v>43405</v>
      </c>
      <c r="F8" s="134">
        <v>43435</v>
      </c>
      <c r="G8" s="134">
        <v>43466</v>
      </c>
      <c r="H8" s="134">
        <v>43497</v>
      </c>
      <c r="I8" s="134">
        <v>43525</v>
      </c>
      <c r="J8" s="133">
        <v>43556</v>
      </c>
      <c r="K8" s="133">
        <v>43586</v>
      </c>
      <c r="L8" s="133">
        <v>43617</v>
      </c>
      <c r="M8" s="133">
        <v>43647</v>
      </c>
      <c r="N8" s="133">
        <v>43678</v>
      </c>
      <c r="O8" s="133">
        <v>43709</v>
      </c>
      <c r="P8" s="133">
        <v>43739</v>
      </c>
      <c r="Q8" s="133">
        <v>43770</v>
      </c>
      <c r="R8" s="133">
        <v>43800</v>
      </c>
      <c r="S8" s="133">
        <v>43831</v>
      </c>
    </row>
    <row r="9" spans="1:26" x14ac:dyDescent="0.25">
      <c r="D9" s="135" t="s">
        <v>90</v>
      </c>
      <c r="E9" s="135" t="s">
        <v>91</v>
      </c>
      <c r="F9" s="136" t="s">
        <v>92</v>
      </c>
      <c r="G9" s="136" t="s">
        <v>93</v>
      </c>
      <c r="H9" s="136" t="s">
        <v>94</v>
      </c>
      <c r="I9" s="136" t="s">
        <v>95</v>
      </c>
      <c r="J9" s="135" t="s">
        <v>96</v>
      </c>
      <c r="K9" s="135" t="s">
        <v>97</v>
      </c>
      <c r="L9" s="135" t="s">
        <v>98</v>
      </c>
      <c r="M9" s="135" t="s">
        <v>99</v>
      </c>
      <c r="N9" s="135" t="s">
        <v>100</v>
      </c>
      <c r="O9" s="135" t="s">
        <v>101</v>
      </c>
      <c r="P9" s="135" t="s">
        <v>218</v>
      </c>
      <c r="Q9" s="135" t="s">
        <v>219</v>
      </c>
      <c r="R9" s="135" t="s">
        <v>220</v>
      </c>
      <c r="S9" s="135" t="s">
        <v>221</v>
      </c>
      <c r="V9" s="137" t="s">
        <v>136</v>
      </c>
      <c r="W9" s="138" t="s">
        <v>67</v>
      </c>
    </row>
    <row r="10" spans="1:26" x14ac:dyDescent="0.25">
      <c r="A10" s="42" t="s">
        <v>114</v>
      </c>
      <c r="B10" s="115" t="s">
        <v>21</v>
      </c>
      <c r="C10" s="115"/>
      <c r="D10" s="35">
        <f>'WN Summary'!C27</f>
        <v>26957.595000000001</v>
      </c>
      <c r="E10" s="35">
        <f>'WN Summary'!D27</f>
        <v>24308.859</v>
      </c>
      <c r="F10" s="35">
        <f>'WN Summary'!E27</f>
        <v>25315.295999999998</v>
      </c>
      <c r="G10" s="35">
        <f>'WN Summary'!F27</f>
        <v>27068.112000000001</v>
      </c>
      <c r="H10" s="35">
        <f>'WN Summary'!G27</f>
        <v>27017.842000000001</v>
      </c>
      <c r="I10" s="35">
        <f>'WN Summary'!H27</f>
        <v>27595.8</v>
      </c>
      <c r="J10" s="35">
        <f>'WN Summary'!I27</f>
        <v>22889.293000000001</v>
      </c>
      <c r="K10" s="35">
        <f>'WN Summary'!J27</f>
        <v>21198.948</v>
      </c>
      <c r="L10" s="35">
        <f>'WN Summary'!K27</f>
        <v>22725.314999999999</v>
      </c>
      <c r="M10" s="35">
        <f>'WN Summary'!L27</f>
        <v>31014.187000000002</v>
      </c>
      <c r="N10" s="35">
        <f>'WN Summary'!M27</f>
        <v>31488.465</v>
      </c>
      <c r="O10" s="35">
        <f>'WN Summary'!N27</f>
        <v>31118.775000000001</v>
      </c>
      <c r="P10" s="188">
        <f>'WN Summary'!O27</f>
        <v>26071.806</v>
      </c>
      <c r="Q10" s="188">
        <f>'WN Summary'!P27</f>
        <v>23505.881000000001</v>
      </c>
      <c r="R10" s="188">
        <f>'WN Summary'!Q27</f>
        <v>26218.832999999999</v>
      </c>
      <c r="S10" s="188">
        <f>'WN Summary'!R27</f>
        <v>26514.05</v>
      </c>
      <c r="T10" s="139">
        <f>SUM(H10:S10)</f>
        <v>317359.19500000001</v>
      </c>
      <c r="V10" s="140"/>
      <c r="W10" s="141"/>
    </row>
    <row r="11" spans="1:26" x14ac:dyDescent="0.25">
      <c r="A11" s="42" t="s">
        <v>114</v>
      </c>
      <c r="B11" s="115" t="s">
        <v>22</v>
      </c>
      <c r="C11" s="115"/>
      <c r="D11" s="58">
        <f>'WN Summary'!C28</f>
        <v>25249.267711258999</v>
      </c>
      <c r="E11" s="58">
        <f>'WN Summary'!D28</f>
        <v>23250.407258019848</v>
      </c>
      <c r="F11" s="58">
        <f>'WN Summary'!E28</f>
        <v>24856.401062319088</v>
      </c>
      <c r="G11" s="58">
        <f>'WN Summary'!F28</f>
        <v>27571.124537459105</v>
      </c>
      <c r="H11" s="58">
        <f>'WN Summary'!G28</f>
        <v>27336.574665583499</v>
      </c>
      <c r="I11" s="58">
        <f>'WN Summary'!H28</f>
        <v>27106.885426477209</v>
      </c>
      <c r="J11" s="58">
        <f>'WN Summary'!I28</f>
        <v>22802.707185823194</v>
      </c>
      <c r="K11" s="58">
        <f>'WN Summary'!J28</f>
        <v>21263.012461328537</v>
      </c>
      <c r="L11" s="58">
        <f>'WN Summary'!K28</f>
        <v>22797.422978755443</v>
      </c>
      <c r="M11" s="58">
        <f>'WN Summary'!L28</f>
        <v>31954.566290276787</v>
      </c>
      <c r="N11" s="58">
        <f>'WN Summary'!M28</f>
        <v>32192.976745090684</v>
      </c>
      <c r="O11" s="58">
        <f>'WN Summary'!N28</f>
        <v>29444.289429631412</v>
      </c>
      <c r="P11" s="58">
        <f>'WN Summary'!O28</f>
        <v>25460.716850208591</v>
      </c>
      <c r="Q11" s="58">
        <f>'WN Summary'!P28</f>
        <v>23390.624940388123</v>
      </c>
      <c r="R11" s="58">
        <f>'WN Summary'!Q28</f>
        <v>25047.741802622702</v>
      </c>
      <c r="S11" s="58">
        <f>'WN Summary'!R28</f>
        <v>27754.219996479311</v>
      </c>
      <c r="V11" s="140"/>
      <c r="W11" s="141"/>
    </row>
    <row r="12" spans="1:26" x14ac:dyDescent="0.25">
      <c r="D12" s="35">
        <f>D11-D10</f>
        <v>-1708.3272887410021</v>
      </c>
      <c r="E12" s="35">
        <f t="shared" ref="E12:O12" si="0">E11-E10</f>
        <v>-1058.4517419801523</v>
      </c>
      <c r="F12" s="35">
        <f t="shared" si="0"/>
        <v>-458.89493768091052</v>
      </c>
      <c r="G12" s="35">
        <f t="shared" si="0"/>
        <v>503.01253745910435</v>
      </c>
      <c r="H12" s="35">
        <f t="shared" si="0"/>
        <v>318.7326655834986</v>
      </c>
      <c r="I12" s="35">
        <f t="shared" si="0"/>
        <v>-488.91457352279031</v>
      </c>
      <c r="J12" s="35">
        <f t="shared" si="0"/>
        <v>-86.585814176807617</v>
      </c>
      <c r="K12" s="35">
        <f t="shared" si="0"/>
        <v>64.064461328536709</v>
      </c>
      <c r="L12" s="35">
        <f t="shared" si="0"/>
        <v>72.107978755444492</v>
      </c>
      <c r="M12" s="35">
        <f t="shared" si="0"/>
        <v>940.37929027678547</v>
      </c>
      <c r="N12" s="35">
        <f t="shared" si="0"/>
        <v>704.51174509068369</v>
      </c>
      <c r="O12" s="35">
        <f t="shared" si="0"/>
        <v>-1674.4855703685898</v>
      </c>
      <c r="P12" s="188">
        <f t="shared" ref="P12:S12" si="1">P11-P10</f>
        <v>-611.089149791409</v>
      </c>
      <c r="Q12" s="188">
        <f t="shared" si="1"/>
        <v>-115.2560596118783</v>
      </c>
      <c r="R12" s="188">
        <f t="shared" si="1"/>
        <v>-1171.0911973772963</v>
      </c>
      <c r="S12" s="188">
        <f t="shared" si="1"/>
        <v>1240.1699964793115</v>
      </c>
      <c r="V12" s="140"/>
      <c r="W12" s="141"/>
    </row>
    <row r="13" spans="1:26" x14ac:dyDescent="0.25"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188"/>
      <c r="Q13" s="188"/>
      <c r="R13" s="188"/>
      <c r="S13" s="188"/>
      <c r="V13" s="140"/>
      <c r="W13" s="141"/>
    </row>
    <row r="14" spans="1:26" x14ac:dyDescent="0.25">
      <c r="A14" s="42" t="s">
        <v>114</v>
      </c>
      <c r="B14" s="42" t="s">
        <v>103</v>
      </c>
      <c r="D14" s="35">
        <f>'Bills Combined'!G14</f>
        <v>18337</v>
      </c>
      <c r="E14" s="35">
        <f>'Bills Combined'!H14</f>
        <v>18349</v>
      </c>
      <c r="F14" s="35">
        <f>'Bills Combined'!I14</f>
        <v>18611</v>
      </c>
      <c r="G14" s="35">
        <f>'Bills Combined'!J14</f>
        <v>18574</v>
      </c>
      <c r="H14" s="35">
        <f>'Bills Combined'!K14</f>
        <v>18272</v>
      </c>
      <c r="I14" s="35">
        <f>'Bills Combined'!L14</f>
        <v>18303</v>
      </c>
      <c r="J14" s="35">
        <f>'Bills Combined'!M14</f>
        <v>18203</v>
      </c>
      <c r="K14" s="35">
        <f>'Bills Combined'!N14</f>
        <v>18246</v>
      </c>
      <c r="L14" s="35">
        <f>'Bills Combined'!O14</f>
        <v>18171</v>
      </c>
      <c r="M14" s="35">
        <f>'Bills Combined'!P14</f>
        <v>18295</v>
      </c>
      <c r="N14" s="35">
        <f>'Bills Combined'!Q14</f>
        <v>18192</v>
      </c>
      <c r="O14" s="35">
        <f>'Bills Combined'!R14</f>
        <v>18083</v>
      </c>
      <c r="P14" s="188">
        <f>'Bills Combined'!S14</f>
        <v>18337</v>
      </c>
      <c r="Q14" s="188">
        <f>'Bills Combined'!T14</f>
        <v>18349</v>
      </c>
      <c r="R14" s="188">
        <f>'Bills Combined'!U14</f>
        <v>18611</v>
      </c>
      <c r="S14" s="188">
        <f>'Bills Combined'!V14</f>
        <v>18574</v>
      </c>
      <c r="T14" s="139"/>
      <c r="U14" s="35"/>
      <c r="V14" s="35"/>
      <c r="W14" s="35"/>
      <c r="X14" s="35">
        <f>'Bills Combined'!AA14</f>
        <v>0.66881112385947661</v>
      </c>
      <c r="Y14" s="35">
        <f>'Bills Combined'!AB14</f>
        <v>0</v>
      </c>
      <c r="Z14" s="35">
        <f>'Bills Combined'!AC14</f>
        <v>0</v>
      </c>
    </row>
    <row r="15" spans="1:26" x14ac:dyDescent="0.25">
      <c r="A15" s="42" t="s">
        <v>114</v>
      </c>
      <c r="B15" s="42" t="s">
        <v>104</v>
      </c>
      <c r="D15" s="35">
        <f>'Bills Combined'!G15</f>
        <v>7888</v>
      </c>
      <c r="E15" s="35">
        <f>'Bills Combined'!H15</f>
        <v>7722</v>
      </c>
      <c r="F15" s="35">
        <f>'Bills Combined'!I15</f>
        <v>8434</v>
      </c>
      <c r="G15" s="35">
        <f>'Bills Combined'!J15</f>
        <v>8462</v>
      </c>
      <c r="H15" s="35">
        <f>'Bills Combined'!K15</f>
        <v>8577</v>
      </c>
      <c r="I15" s="35">
        <f>'Bills Combined'!L15</f>
        <v>8557</v>
      </c>
      <c r="J15" s="35">
        <f>'Bills Combined'!M15</f>
        <v>7470</v>
      </c>
      <c r="K15" s="35">
        <f>'Bills Combined'!N15</f>
        <v>6799</v>
      </c>
      <c r="L15" s="35">
        <f>'Bills Combined'!O15</f>
        <v>7294</v>
      </c>
      <c r="M15" s="35">
        <f>'Bills Combined'!P15</f>
        <v>8210</v>
      </c>
      <c r="N15" s="35">
        <f>'Bills Combined'!Q15</f>
        <v>8486</v>
      </c>
      <c r="O15" s="35">
        <f>'Bills Combined'!R15</f>
        <v>8410</v>
      </c>
      <c r="P15" s="188">
        <f>'Bills Combined'!S15</f>
        <v>7888</v>
      </c>
      <c r="Q15" s="188">
        <f>'Bills Combined'!T15</f>
        <v>7722</v>
      </c>
      <c r="R15" s="188">
        <f>'Bills Combined'!U15</f>
        <v>8434</v>
      </c>
      <c r="S15" s="188">
        <f>'Bills Combined'!V15</f>
        <v>8462</v>
      </c>
      <c r="T15" s="139"/>
      <c r="U15" s="35"/>
      <c r="V15" s="35"/>
      <c r="W15" s="35"/>
      <c r="X15" s="35">
        <f>'Bills Combined'!AA15</f>
        <v>0.66358284272497903</v>
      </c>
      <c r="Y15" s="35">
        <f>'Bills Combined'!AB15</f>
        <v>0</v>
      </c>
      <c r="Z15" s="35">
        <f>'Bills Combined'!AC15</f>
        <v>0</v>
      </c>
    </row>
    <row r="16" spans="1:26" x14ac:dyDescent="0.25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188"/>
      <c r="Q16" s="188"/>
      <c r="R16" s="188"/>
      <c r="S16" s="188"/>
      <c r="V16" s="140"/>
      <c r="W16" s="141"/>
    </row>
    <row r="17" spans="2:26" x14ac:dyDescent="0.25">
      <c r="B17" s="42" t="s">
        <v>87</v>
      </c>
      <c r="D17" s="34">
        <f>1-D18</f>
        <v>0.56983148824780505</v>
      </c>
      <c r="E17" s="34">
        <f t="shared" ref="E17:S17" si="2">1-E18</f>
        <v>0.5791596272276418</v>
      </c>
      <c r="F17" s="34">
        <f t="shared" si="2"/>
        <v>0.54682714523668796</v>
      </c>
      <c r="G17" s="34">
        <f t="shared" si="2"/>
        <v>0.54441692688704646</v>
      </c>
      <c r="H17" s="34">
        <f t="shared" si="2"/>
        <v>0.53059325744308228</v>
      </c>
      <c r="I17" s="34">
        <f t="shared" si="2"/>
        <v>0.53248101404141401</v>
      </c>
      <c r="J17" s="34">
        <f t="shared" si="2"/>
        <v>0.58962808328297533</v>
      </c>
      <c r="K17" s="34">
        <f t="shared" si="2"/>
        <v>0.62737038254959998</v>
      </c>
      <c r="L17" s="34">
        <f t="shared" si="2"/>
        <v>0.59859116174123606</v>
      </c>
      <c r="M17" s="34">
        <f t="shared" si="2"/>
        <v>0.55124350915550702</v>
      </c>
      <c r="N17" s="34">
        <f t="shared" si="2"/>
        <v>0.53353122251539142</v>
      </c>
      <c r="O17" s="34">
        <f t="shared" si="2"/>
        <v>0.53492230271525743</v>
      </c>
      <c r="P17" s="34">
        <f t="shared" si="2"/>
        <v>0.56983148824780505</v>
      </c>
      <c r="Q17" s="34">
        <f t="shared" si="2"/>
        <v>0.5791596272276418</v>
      </c>
      <c r="R17" s="34">
        <f t="shared" si="2"/>
        <v>0.54682714523668796</v>
      </c>
      <c r="S17" s="34">
        <f t="shared" si="2"/>
        <v>0.54441692688704646</v>
      </c>
      <c r="V17" s="140"/>
      <c r="W17" s="141"/>
    </row>
    <row r="18" spans="2:26" x14ac:dyDescent="0.25">
      <c r="B18" s="42" t="s">
        <v>88</v>
      </c>
      <c r="D18" s="34">
        <f t="shared" ref="D18:O18" si="3">D15/D14</f>
        <v>0.430168511752195</v>
      </c>
      <c r="E18" s="34">
        <f t="shared" si="3"/>
        <v>0.42084037277235814</v>
      </c>
      <c r="F18" s="34">
        <f t="shared" si="3"/>
        <v>0.45317285476331204</v>
      </c>
      <c r="G18" s="34">
        <f t="shared" si="3"/>
        <v>0.4555830731129536</v>
      </c>
      <c r="H18" s="34">
        <f t="shared" si="3"/>
        <v>0.46940674255691767</v>
      </c>
      <c r="I18" s="34">
        <f t="shared" si="3"/>
        <v>0.46751898595858604</v>
      </c>
      <c r="J18" s="34">
        <f t="shared" si="3"/>
        <v>0.41037191671702467</v>
      </c>
      <c r="K18" s="34">
        <f t="shared" si="3"/>
        <v>0.37262961745040007</v>
      </c>
      <c r="L18" s="34">
        <f t="shared" si="3"/>
        <v>0.40140883825876394</v>
      </c>
      <c r="M18" s="34">
        <f t="shared" si="3"/>
        <v>0.44875649084449304</v>
      </c>
      <c r="N18" s="34">
        <f t="shared" si="3"/>
        <v>0.46646877748460863</v>
      </c>
      <c r="O18" s="34">
        <f t="shared" si="3"/>
        <v>0.46507769728474257</v>
      </c>
      <c r="P18" s="34">
        <f t="shared" ref="P18:S18" si="4">P15/P14</f>
        <v>0.430168511752195</v>
      </c>
      <c r="Q18" s="34">
        <f t="shared" si="4"/>
        <v>0.42084037277235814</v>
      </c>
      <c r="R18" s="34">
        <f t="shared" si="4"/>
        <v>0.45317285476331204</v>
      </c>
      <c r="S18" s="34">
        <f t="shared" si="4"/>
        <v>0.4555830731129536</v>
      </c>
      <c r="V18" s="140"/>
      <c r="W18" s="141"/>
    </row>
    <row r="19" spans="2:26" x14ac:dyDescent="0.25">
      <c r="V19" s="140"/>
      <c r="W19" s="141"/>
    </row>
    <row r="20" spans="2:26" x14ac:dyDescent="0.25">
      <c r="B20" s="42" t="s">
        <v>105</v>
      </c>
      <c r="D20" s="35">
        <f t="shared" ref="D20:O20" si="5">D12*D17</f>
        <v>-973.45868135762305</v>
      </c>
      <c r="E20" s="35">
        <f t="shared" si="5"/>
        <v>-613.01251632367314</v>
      </c>
      <c r="F20" s="35">
        <f t="shared" si="5"/>
        <v>-250.93620873562011</v>
      </c>
      <c r="G20" s="35">
        <f t="shared" si="5"/>
        <v>273.84853982914092</v>
      </c>
      <c r="H20" s="35">
        <f t="shared" si="5"/>
        <v>169.11740328546512</v>
      </c>
      <c r="I20" s="35">
        <f t="shared" si="5"/>
        <v>-260.33772788904082</v>
      </c>
      <c r="J20" s="35">
        <f t="shared" si="5"/>
        <v>-51.053427652566945</v>
      </c>
      <c r="K20" s="35">
        <f t="shared" si="5"/>
        <v>40.192145611518129</v>
      </c>
      <c r="L20" s="35">
        <f t="shared" si="5"/>
        <v>43.163198774033887</v>
      </c>
      <c r="M20" s="35">
        <f t="shared" si="5"/>
        <v>518.37797990934041</v>
      </c>
      <c r="N20" s="35">
        <f t="shared" si="5"/>
        <v>375.87901263468427</v>
      </c>
      <c r="O20" s="35">
        <f t="shared" si="5"/>
        <v>-895.7196771650373</v>
      </c>
      <c r="P20" s="188">
        <f t="shared" ref="P20:S20" si="6">P12*P17</f>
        <v>-348.21783967772444</v>
      </c>
      <c r="Q20" s="188">
        <f t="shared" si="6"/>
        <v>-66.751656520542298</v>
      </c>
      <c r="R20" s="188">
        <f t="shared" si="6"/>
        <v>-640.3844562736416</v>
      </c>
      <c r="S20" s="188">
        <f t="shared" si="6"/>
        <v>675.16953830078603</v>
      </c>
      <c r="T20" s="139">
        <f>SUM(H20:S20)</f>
        <v>-440.5655066627254</v>
      </c>
      <c r="U20" s="139">
        <f>SUM(T20:T21)</f>
        <v>-807.45622733451057</v>
      </c>
      <c r="V20" s="142">
        <f>SUM(L20:O20)</f>
        <v>41.700514153021231</v>
      </c>
      <c r="W20" s="181">
        <f t="shared" ref="W20:W21" si="7">SUM(I20:L20,Q20:T20)</f>
        <v>-700.56789231217897</v>
      </c>
    </row>
    <row r="21" spans="2:26" x14ac:dyDescent="0.25">
      <c r="B21" s="42" t="s">
        <v>106</v>
      </c>
      <c r="D21" s="35">
        <f t="shared" ref="D21:O21" si="8">D18*D12</f>
        <v>-734.86860738337919</v>
      </c>
      <c r="E21" s="35">
        <f t="shared" si="8"/>
        <v>-445.43922565647915</v>
      </c>
      <c r="F21" s="35">
        <f t="shared" si="8"/>
        <v>-207.9587289452904</v>
      </c>
      <c r="G21" s="35">
        <f t="shared" si="8"/>
        <v>229.16399762996346</v>
      </c>
      <c r="H21" s="35">
        <f t="shared" si="8"/>
        <v>149.61526229803346</v>
      </c>
      <c r="I21" s="35">
        <f t="shared" si="8"/>
        <v>-228.57684563374949</v>
      </c>
      <c r="J21" s="35">
        <f t="shared" si="8"/>
        <v>-35.532386524240671</v>
      </c>
      <c r="K21" s="35">
        <f t="shared" si="8"/>
        <v>23.872315717018584</v>
      </c>
      <c r="L21" s="35">
        <f t="shared" si="8"/>
        <v>28.944779981410605</v>
      </c>
      <c r="M21" s="35">
        <f t="shared" si="8"/>
        <v>422.00131036744511</v>
      </c>
      <c r="N21" s="35">
        <f t="shared" si="8"/>
        <v>328.63273245599947</v>
      </c>
      <c r="O21" s="35">
        <f t="shared" si="8"/>
        <v>-778.76589320355254</v>
      </c>
      <c r="P21" s="188">
        <f t="shared" ref="P21:S21" si="9">P18*P12</f>
        <v>-262.87131011368456</v>
      </c>
      <c r="Q21" s="188">
        <f t="shared" si="9"/>
        <v>-48.504403091335995</v>
      </c>
      <c r="R21" s="188">
        <f t="shared" si="9"/>
        <v>-530.70674110365474</v>
      </c>
      <c r="S21" s="188">
        <f t="shared" si="9"/>
        <v>565.00045817852561</v>
      </c>
      <c r="T21" s="139">
        <f>SUM(H21:S21)</f>
        <v>-366.89072067178517</v>
      </c>
      <c r="V21" s="142">
        <f>SUM(L21:O21)</f>
        <v>0.81292960130269876</v>
      </c>
      <c r="W21" s="181">
        <f t="shared" si="7"/>
        <v>-592.39354314781122</v>
      </c>
    </row>
    <row r="22" spans="2:26" x14ac:dyDescent="0.25">
      <c r="V22" s="140"/>
      <c r="W22" s="141"/>
    </row>
    <row r="23" spans="2:26" x14ac:dyDescent="0.25">
      <c r="B23" s="42" t="s">
        <v>120</v>
      </c>
      <c r="D23" s="35">
        <f>'kWh Combined'!G14</f>
        <v>7739743</v>
      </c>
      <c r="E23" s="35">
        <f>'kWh Combined'!H14</f>
        <v>7710767</v>
      </c>
      <c r="F23" s="35">
        <f>'kWh Combined'!I14</f>
        <v>7974021</v>
      </c>
      <c r="G23" s="35">
        <f>'kWh Combined'!J14</f>
        <v>8049955</v>
      </c>
      <c r="H23" s="35">
        <f>'kWh Combined'!K14</f>
        <v>8108898</v>
      </c>
      <c r="I23" s="35">
        <f>'kWh Combined'!L14</f>
        <v>8123123</v>
      </c>
      <c r="J23" s="35">
        <f>'kWh Combined'!M14</f>
        <v>7657905</v>
      </c>
      <c r="K23" s="35">
        <f>'kWh Combined'!N14</f>
        <v>7286542.2000000002</v>
      </c>
      <c r="L23" s="35">
        <f>'kWh Combined'!O14</f>
        <v>7438962.5</v>
      </c>
      <c r="M23" s="35">
        <f>'kWh Combined'!P14</f>
        <v>7839948.4000000004</v>
      </c>
      <c r="N23" s="35">
        <f>'kWh Combined'!Q14</f>
        <v>7939369.2000000002</v>
      </c>
      <c r="O23" s="35">
        <f>'kWh Combined'!R14</f>
        <v>7985896.2999999998</v>
      </c>
      <c r="P23" s="188">
        <f>'kWh Combined'!S14</f>
        <v>7726702</v>
      </c>
      <c r="Q23" s="188">
        <f>'kWh Combined'!T14</f>
        <v>7687533.2000000002</v>
      </c>
      <c r="R23" s="188">
        <f>'kWh Combined'!U14</f>
        <v>7974279.0999999996</v>
      </c>
      <c r="S23" s="188">
        <f>'kWh Combined'!V14</f>
        <v>8026211.5</v>
      </c>
      <c r="T23" s="35"/>
      <c r="U23" s="35"/>
      <c r="V23" s="35"/>
      <c r="W23" s="35">
        <f>'kWh Combined'!Z14</f>
        <v>0</v>
      </c>
      <c r="X23" s="35">
        <f>'kWh Combined'!AA14</f>
        <v>0</v>
      </c>
      <c r="Y23" s="35">
        <f>'kWh Combined'!AB14</f>
        <v>0</v>
      </c>
      <c r="Z23" s="35">
        <f>'kWh Combined'!AC14</f>
        <v>0</v>
      </c>
    </row>
    <row r="24" spans="2:26" x14ac:dyDescent="0.25">
      <c r="B24" s="42" t="s">
        <v>121</v>
      </c>
      <c r="D24" s="35">
        <f>'kWh Combined'!G15</f>
        <v>19217852</v>
      </c>
      <c r="E24" s="35">
        <f>'kWh Combined'!H15</f>
        <v>16598092</v>
      </c>
      <c r="F24" s="35">
        <f>'kWh Combined'!I15</f>
        <v>17341275</v>
      </c>
      <c r="G24" s="35">
        <f>'kWh Combined'!J15</f>
        <v>19018157</v>
      </c>
      <c r="H24" s="35">
        <f>'kWh Combined'!K15</f>
        <v>18908944</v>
      </c>
      <c r="I24" s="35">
        <f>'kWh Combined'!L15</f>
        <v>19472677</v>
      </c>
      <c r="J24" s="35">
        <f>'kWh Combined'!M15</f>
        <v>15231388</v>
      </c>
      <c r="K24" s="35">
        <f>'kWh Combined'!N15</f>
        <v>13912405.800000001</v>
      </c>
      <c r="L24" s="35">
        <f>'kWh Combined'!O15</f>
        <v>15286352.5</v>
      </c>
      <c r="M24" s="35">
        <f>'kWh Combined'!P15</f>
        <v>23174238.600000001</v>
      </c>
      <c r="N24" s="35">
        <f>'kWh Combined'!Q15</f>
        <v>23549095.800000001</v>
      </c>
      <c r="O24" s="35">
        <f>'kWh Combined'!R15</f>
        <v>23132878.699999999</v>
      </c>
      <c r="P24" s="188">
        <f>'kWh Combined'!S15</f>
        <v>18345104</v>
      </c>
      <c r="Q24" s="188">
        <f>'kWh Combined'!T15</f>
        <v>15818347.800000001</v>
      </c>
      <c r="R24" s="188">
        <f>'kWh Combined'!U15</f>
        <v>18244553.899999999</v>
      </c>
      <c r="S24" s="188">
        <f>'kWh Combined'!V15</f>
        <v>18487838.5</v>
      </c>
      <c r="T24" s="35"/>
      <c r="U24" s="35"/>
      <c r="V24" s="35"/>
      <c r="W24" s="35">
        <f>'kWh Combined'!Z15</f>
        <v>0</v>
      </c>
      <c r="X24" s="35">
        <f>'kWh Combined'!AA15</f>
        <v>0</v>
      </c>
      <c r="Y24" s="35">
        <f>'kWh Combined'!AB15</f>
        <v>0</v>
      </c>
      <c r="Z24" s="35">
        <f>'kWh Combined'!AC15</f>
        <v>0</v>
      </c>
    </row>
    <row r="25" spans="2:26" x14ac:dyDescent="0.25">
      <c r="V25" s="140"/>
      <c r="W25" s="141"/>
    </row>
    <row r="26" spans="2:26" x14ac:dyDescent="0.25">
      <c r="B26" s="42" t="s">
        <v>87</v>
      </c>
      <c r="D26" s="34">
        <f t="shared" ref="D26:I26" si="10">D23/SUM(D23:D24)</f>
        <v>0.28710806731831973</v>
      </c>
      <c r="E26" s="34">
        <f t="shared" si="10"/>
        <v>0.31719987351113438</v>
      </c>
      <c r="F26" s="34">
        <f t="shared" si="10"/>
        <v>0.31498825848214457</v>
      </c>
      <c r="G26" s="34">
        <f t="shared" si="10"/>
        <v>0.2973962498751298</v>
      </c>
      <c r="H26" s="34">
        <f t="shared" si="10"/>
        <v>0.30013122439608614</v>
      </c>
      <c r="I26" s="34">
        <f t="shared" si="10"/>
        <v>0.29436084476623253</v>
      </c>
      <c r="J26" s="34">
        <f t="shared" ref="J26:L26" si="11">J23/SUM(J23:J24)</f>
        <v>0.33456275822936077</v>
      </c>
      <c r="K26" s="34">
        <f t="shared" si="11"/>
        <v>0.34372187714220537</v>
      </c>
      <c r="L26" s="34">
        <f t="shared" si="11"/>
        <v>0.32734254728702328</v>
      </c>
      <c r="M26" s="34">
        <f>M23/SUM(M23:M24)</f>
        <v>0.25278587505775985</v>
      </c>
      <c r="N26" s="34">
        <f>N23/SUM(N23:N24)</f>
        <v>0.25213579639401285</v>
      </c>
      <c r="O26" s="34">
        <f>O23/SUM(O23:O24)</f>
        <v>0.2566263067874619</v>
      </c>
      <c r="P26" s="34">
        <f t="shared" ref="P26:S26" si="12">P23/SUM(P23:P24)</f>
        <v>0.29636236170213909</v>
      </c>
      <c r="Q26" s="34">
        <f t="shared" si="12"/>
        <v>0.32704722703224781</v>
      </c>
      <c r="R26" s="34">
        <f t="shared" si="12"/>
        <v>0.30414317448835343</v>
      </c>
      <c r="S26" s="34">
        <f t="shared" si="12"/>
        <v>0.30271540937729241</v>
      </c>
      <c r="V26" s="140"/>
      <c r="W26" s="141"/>
    </row>
    <row r="27" spans="2:26" x14ac:dyDescent="0.25">
      <c r="B27" s="42" t="s">
        <v>88</v>
      </c>
      <c r="D27" s="34">
        <f t="shared" ref="D27:I27" si="13">D24/SUM(D23:D24)</f>
        <v>0.71289193268168027</v>
      </c>
      <c r="E27" s="34">
        <f t="shared" si="13"/>
        <v>0.68280012648886568</v>
      </c>
      <c r="F27" s="34">
        <f t="shared" si="13"/>
        <v>0.68501174151785549</v>
      </c>
      <c r="G27" s="34">
        <f t="shared" si="13"/>
        <v>0.7026037501248702</v>
      </c>
      <c r="H27" s="34">
        <f t="shared" si="13"/>
        <v>0.69986877560391392</v>
      </c>
      <c r="I27" s="34">
        <f t="shared" si="13"/>
        <v>0.70563915523376741</v>
      </c>
      <c r="J27" s="34">
        <f t="shared" ref="J27:L27" si="14">J24/SUM(J23:J24)</f>
        <v>0.66543724177063923</v>
      </c>
      <c r="K27" s="34">
        <f t="shared" si="14"/>
        <v>0.65627812285779463</v>
      </c>
      <c r="L27" s="34">
        <f t="shared" si="14"/>
        <v>0.67265745271297672</v>
      </c>
      <c r="M27" s="34">
        <f>M24/SUM(M23:M24)</f>
        <v>0.74721412494224015</v>
      </c>
      <c r="N27" s="34">
        <f>N24/SUM(N23:N24)</f>
        <v>0.74786420360598715</v>
      </c>
      <c r="O27" s="34">
        <f>O24/SUM(O23:O24)</f>
        <v>0.7433736932125381</v>
      </c>
      <c r="P27" s="34">
        <f t="shared" ref="P27:S27" si="15">P24/SUM(P23:P24)</f>
        <v>0.70363763829786097</v>
      </c>
      <c r="Q27" s="34">
        <f t="shared" si="15"/>
        <v>0.67295277296775224</v>
      </c>
      <c r="R27" s="34">
        <f t="shared" si="15"/>
        <v>0.69585682551164652</v>
      </c>
      <c r="S27" s="34">
        <f t="shared" si="15"/>
        <v>0.69728459062270753</v>
      </c>
      <c r="V27" s="140"/>
      <c r="W27" s="141"/>
    </row>
    <row r="28" spans="2:26" x14ac:dyDescent="0.25">
      <c r="V28" s="140"/>
      <c r="W28" s="141"/>
    </row>
    <row r="29" spans="2:26" x14ac:dyDescent="0.25">
      <c r="B29" s="42" t="s">
        <v>107</v>
      </c>
      <c r="D29" s="35">
        <f t="shared" ref="D29:O29" si="16">D10*D26</f>
        <v>7739.7429999999995</v>
      </c>
      <c r="E29" s="35">
        <f t="shared" si="16"/>
        <v>7710.7670000000007</v>
      </c>
      <c r="F29" s="35">
        <f t="shared" si="16"/>
        <v>7974.0209999999997</v>
      </c>
      <c r="G29" s="35">
        <f t="shared" si="16"/>
        <v>8049.9549999999999</v>
      </c>
      <c r="H29" s="35">
        <f t="shared" si="16"/>
        <v>8108.898000000001</v>
      </c>
      <c r="I29" s="35">
        <f t="shared" si="16"/>
        <v>8123.1229999999996</v>
      </c>
      <c r="J29" s="35">
        <f t="shared" si="16"/>
        <v>7657.9050000000007</v>
      </c>
      <c r="K29" s="35">
        <f t="shared" si="16"/>
        <v>7286.5421999999999</v>
      </c>
      <c r="L29" s="35">
        <f t="shared" si="16"/>
        <v>7438.9624999999987</v>
      </c>
      <c r="M29" s="35">
        <f t="shared" si="16"/>
        <v>7839.9484000000002</v>
      </c>
      <c r="N29" s="35">
        <f t="shared" si="16"/>
        <v>7939.3692000000001</v>
      </c>
      <c r="O29" s="35">
        <f t="shared" si="16"/>
        <v>7985.8963000000003</v>
      </c>
      <c r="P29" s="188">
        <f t="shared" ref="P29:S29" si="17">P10*P26</f>
        <v>7726.7020000000002</v>
      </c>
      <c r="Q29" s="188">
        <f t="shared" si="17"/>
        <v>7687.5332000000008</v>
      </c>
      <c r="R29" s="188">
        <f t="shared" si="17"/>
        <v>7974.2790999999988</v>
      </c>
      <c r="S29" s="188">
        <f t="shared" si="17"/>
        <v>8026.2114999999994</v>
      </c>
      <c r="V29" s="140"/>
      <c r="W29" s="141"/>
    </row>
    <row r="30" spans="2:26" x14ac:dyDescent="0.25">
      <c r="B30" s="42" t="s">
        <v>108</v>
      </c>
      <c r="D30" s="35">
        <f t="shared" ref="D30:O30" si="18">D10*D27</f>
        <v>19217.852000000003</v>
      </c>
      <c r="E30" s="35">
        <f t="shared" si="18"/>
        <v>16598.092000000001</v>
      </c>
      <c r="F30" s="35">
        <f t="shared" si="18"/>
        <v>17341.275000000001</v>
      </c>
      <c r="G30" s="35">
        <f t="shared" si="18"/>
        <v>19018.157000000003</v>
      </c>
      <c r="H30" s="35">
        <f t="shared" si="18"/>
        <v>18908.944</v>
      </c>
      <c r="I30" s="35">
        <f t="shared" si="18"/>
        <v>19472.677</v>
      </c>
      <c r="J30" s="35">
        <f t="shared" si="18"/>
        <v>15231.388000000001</v>
      </c>
      <c r="K30" s="35">
        <f t="shared" si="18"/>
        <v>13912.4058</v>
      </c>
      <c r="L30" s="35">
        <f t="shared" si="18"/>
        <v>15286.352499999999</v>
      </c>
      <c r="M30" s="35">
        <f t="shared" si="18"/>
        <v>23174.238600000001</v>
      </c>
      <c r="N30" s="35">
        <f t="shared" si="18"/>
        <v>23549.095799999999</v>
      </c>
      <c r="O30" s="35">
        <f t="shared" si="18"/>
        <v>23132.878700000001</v>
      </c>
      <c r="P30" s="188">
        <f t="shared" ref="P30:S30" si="19">P10*P27</f>
        <v>18345.104000000003</v>
      </c>
      <c r="Q30" s="188">
        <f t="shared" si="19"/>
        <v>15818.347800000001</v>
      </c>
      <c r="R30" s="188">
        <f t="shared" si="19"/>
        <v>18244.553899999999</v>
      </c>
      <c r="S30" s="188">
        <f t="shared" si="19"/>
        <v>18487.838499999998</v>
      </c>
      <c r="T30" s="139">
        <f>SUM(H30:S30)</f>
        <v>223563.82459999999</v>
      </c>
      <c r="U30" s="139">
        <f>T33-T30</f>
        <v>-366.89072067174129</v>
      </c>
      <c r="V30" s="140"/>
      <c r="W30" s="141"/>
    </row>
    <row r="31" spans="2:26" x14ac:dyDescent="0.25"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188"/>
      <c r="Q31" s="188"/>
      <c r="R31" s="188"/>
      <c r="S31" s="188"/>
      <c r="V31" s="140"/>
      <c r="W31" s="141"/>
    </row>
    <row r="32" spans="2:26" x14ac:dyDescent="0.25">
      <c r="B32" s="42" t="s">
        <v>109</v>
      </c>
      <c r="D32" s="35">
        <f t="shared" ref="D32:O32" si="20">SUM(D20,D29)</f>
        <v>6766.2843186423761</v>
      </c>
      <c r="E32" s="35">
        <f t="shared" si="20"/>
        <v>7097.7544836763273</v>
      </c>
      <c r="F32" s="35">
        <f t="shared" si="20"/>
        <v>7723.0847912643794</v>
      </c>
      <c r="G32" s="35">
        <f t="shared" si="20"/>
        <v>8323.8035398291413</v>
      </c>
      <c r="H32" s="35">
        <f t="shared" si="20"/>
        <v>8278.0154032854662</v>
      </c>
      <c r="I32" s="35">
        <f t="shared" si="20"/>
        <v>7862.7852721109584</v>
      </c>
      <c r="J32" s="35">
        <f t="shared" si="20"/>
        <v>7606.8515723474338</v>
      </c>
      <c r="K32" s="35">
        <f t="shared" si="20"/>
        <v>7326.7343456115177</v>
      </c>
      <c r="L32" s="35">
        <f t="shared" si="20"/>
        <v>7482.1256987740326</v>
      </c>
      <c r="M32" s="35">
        <f t="shared" si="20"/>
        <v>8358.3263799093402</v>
      </c>
      <c r="N32" s="35">
        <f t="shared" si="20"/>
        <v>8315.248212634684</v>
      </c>
      <c r="O32" s="35">
        <f t="shared" si="20"/>
        <v>7090.1766228349634</v>
      </c>
      <c r="P32" s="188">
        <f t="shared" ref="P32:S32" si="21">SUM(P20,P29)</f>
        <v>7378.4841603222758</v>
      </c>
      <c r="Q32" s="188">
        <f t="shared" si="21"/>
        <v>7620.7815434794584</v>
      </c>
      <c r="R32" s="188">
        <f t="shared" si="21"/>
        <v>7333.8946437263576</v>
      </c>
      <c r="S32" s="188">
        <f t="shared" si="21"/>
        <v>8701.3810383007858</v>
      </c>
      <c r="V32" s="142"/>
      <c r="W32" s="143"/>
    </row>
    <row r="33" spans="2:23" x14ac:dyDescent="0.25">
      <c r="B33" s="42" t="s">
        <v>110</v>
      </c>
      <c r="D33" s="35">
        <f t="shared" ref="D33:O33" si="22">SUM(D21,D30)</f>
        <v>18482.983392616625</v>
      </c>
      <c r="E33" s="35">
        <f t="shared" si="22"/>
        <v>16152.652774343522</v>
      </c>
      <c r="F33" s="35">
        <f t="shared" si="22"/>
        <v>17133.316271054711</v>
      </c>
      <c r="G33" s="35">
        <f t="shared" si="22"/>
        <v>19247.320997629966</v>
      </c>
      <c r="H33" s="35">
        <f t="shared" si="22"/>
        <v>19058.559262298033</v>
      </c>
      <c r="I33" s="35">
        <f t="shared" si="22"/>
        <v>19244.10015436625</v>
      </c>
      <c r="J33" s="35">
        <f t="shared" si="22"/>
        <v>15195.85561347576</v>
      </c>
      <c r="K33" s="35">
        <f t="shared" si="22"/>
        <v>13936.278115717019</v>
      </c>
      <c r="L33" s="35">
        <f t="shared" si="22"/>
        <v>15315.297279981409</v>
      </c>
      <c r="M33" s="35">
        <f t="shared" si="22"/>
        <v>23596.239910367447</v>
      </c>
      <c r="N33" s="35">
        <f t="shared" si="22"/>
        <v>23877.728532456</v>
      </c>
      <c r="O33" s="35">
        <f t="shared" si="22"/>
        <v>22354.112806796449</v>
      </c>
      <c r="P33" s="188">
        <f t="shared" ref="P33:S33" si="23">SUM(P21,P30)</f>
        <v>18082.232689886318</v>
      </c>
      <c r="Q33" s="188">
        <f t="shared" si="23"/>
        <v>15769.843396908665</v>
      </c>
      <c r="R33" s="188">
        <f t="shared" si="23"/>
        <v>17713.847158896344</v>
      </c>
      <c r="S33" s="188">
        <f t="shared" si="23"/>
        <v>19052.838958178523</v>
      </c>
      <c r="T33" s="139">
        <f>SUM(H33:S33)</f>
        <v>223196.93387932825</v>
      </c>
      <c r="V33" s="142"/>
      <c r="W33" s="143"/>
    </row>
    <row r="34" spans="2:23" x14ac:dyDescent="0.25"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188"/>
      <c r="Q34" s="188"/>
      <c r="R34" s="188"/>
      <c r="S34" s="188"/>
      <c r="V34" s="140"/>
      <c r="W34" s="141"/>
    </row>
    <row r="35" spans="2:23" x14ac:dyDescent="0.25">
      <c r="B35" s="42" t="s">
        <v>111</v>
      </c>
      <c r="D35" s="35">
        <f>'WN Summary'!C30</f>
        <v>18031</v>
      </c>
      <c r="E35" s="35">
        <f>'WN Summary'!D30</f>
        <v>18074</v>
      </c>
      <c r="F35" s="35">
        <f>'WN Summary'!E30</f>
        <v>18057</v>
      </c>
      <c r="G35" s="35">
        <f>'WN Summary'!F30</f>
        <v>18070</v>
      </c>
      <c r="H35" s="35">
        <f>'WN Summary'!G30</f>
        <v>18069</v>
      </c>
      <c r="I35" s="35">
        <f>'WN Summary'!H30</f>
        <v>18072</v>
      </c>
      <c r="J35" s="35">
        <f>'WN Summary'!I30</f>
        <v>18095</v>
      </c>
      <c r="K35" s="35">
        <f>'WN Summary'!J30</f>
        <v>18088</v>
      </c>
      <c r="L35" s="35">
        <f>'WN Summary'!K30</f>
        <v>18164</v>
      </c>
      <c r="M35" s="35">
        <f>'WN Summary'!L30</f>
        <v>18104</v>
      </c>
      <c r="N35" s="35">
        <f>'WN Summary'!M30</f>
        <v>18145</v>
      </c>
      <c r="O35" s="35">
        <f>'WN Summary'!N30</f>
        <v>18167</v>
      </c>
      <c r="P35" s="188">
        <f>'WN Summary'!O30</f>
        <v>18182</v>
      </c>
      <c r="Q35" s="188">
        <f>'WN Summary'!P30</f>
        <v>18183</v>
      </c>
      <c r="R35" s="188">
        <f>'WN Summary'!Q30</f>
        <v>18196</v>
      </c>
      <c r="S35" s="188">
        <f>'WN Summary'!R30</f>
        <v>18190</v>
      </c>
      <c r="V35" s="140"/>
      <c r="W35" s="141"/>
    </row>
    <row r="36" spans="2:23" x14ac:dyDescent="0.25">
      <c r="B36" s="42" t="s">
        <v>133</v>
      </c>
      <c r="D36" s="35">
        <f>(SUM(D32:D33)/D35)*1000</f>
        <v>1400.3254235072377</v>
      </c>
      <c r="E36" s="35">
        <f t="shared" ref="E36:O36" si="24">(SUM(E32:E33)/E35)*1000</f>
        <v>1286.4007556722279</v>
      </c>
      <c r="F36" s="35">
        <f t="shared" si="24"/>
        <v>1376.5520885152068</v>
      </c>
      <c r="G36" s="35">
        <f t="shared" si="24"/>
        <v>1525.7954918350365</v>
      </c>
      <c r="H36" s="35">
        <f t="shared" si="24"/>
        <v>1512.8991458068238</v>
      </c>
      <c r="I36" s="35">
        <f t="shared" si="24"/>
        <v>1499.9383259449539</v>
      </c>
      <c r="J36" s="35">
        <f t="shared" si="24"/>
        <v>1260.1661887716605</v>
      </c>
      <c r="K36" s="35">
        <f t="shared" si="24"/>
        <v>1175.5314275391718</v>
      </c>
      <c r="L36" s="35">
        <f t="shared" si="24"/>
        <v>1255.0882503168598</v>
      </c>
      <c r="M36" s="35">
        <f t="shared" si="24"/>
        <v>1765.0555838641619</v>
      </c>
      <c r="N36" s="35">
        <f t="shared" si="24"/>
        <v>1774.2064891204566</v>
      </c>
      <c r="O36" s="35">
        <f t="shared" si="24"/>
        <v>1620.75683545062</v>
      </c>
      <c r="P36" s="188">
        <f t="shared" ref="P36:S36" si="25">(SUM(P32:P33)/P35)*1000</f>
        <v>1400.3254235072375</v>
      </c>
      <c r="Q36" s="188">
        <f t="shared" si="25"/>
        <v>1286.4007556722281</v>
      </c>
      <c r="R36" s="188">
        <f t="shared" si="25"/>
        <v>1376.5520885152066</v>
      </c>
      <c r="S36" s="188">
        <f t="shared" si="25"/>
        <v>1525.7954918350363</v>
      </c>
      <c r="V36" s="140"/>
      <c r="W36" s="141"/>
    </row>
    <row r="37" spans="2:23" x14ac:dyDescent="0.25"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188"/>
      <c r="Q37" s="188"/>
      <c r="R37" s="188"/>
      <c r="S37" s="188"/>
      <c r="V37" s="140"/>
      <c r="W37" s="141"/>
    </row>
    <row r="38" spans="2:23" x14ac:dyDescent="0.25">
      <c r="B38" s="42" t="s">
        <v>112</v>
      </c>
      <c r="D38" s="35">
        <f>(D32/D35)*1000</f>
        <v>375.25840600312659</v>
      </c>
      <c r="E38" s="35">
        <f t="shared" ref="E38:O38" si="26">(E32/E35)*1000</f>
        <v>392.70523866749625</v>
      </c>
      <c r="F38" s="35">
        <f t="shared" si="26"/>
        <v>427.70586427780802</v>
      </c>
      <c r="G38" s="35">
        <f t="shared" si="26"/>
        <v>460.64214387543672</v>
      </c>
      <c r="H38" s="35">
        <f t="shared" si="26"/>
        <v>458.13356595746671</v>
      </c>
      <c r="I38" s="35">
        <f t="shared" si="26"/>
        <v>435.08107968741473</v>
      </c>
      <c r="J38" s="35">
        <f t="shared" si="26"/>
        <v>420.38417089513314</v>
      </c>
      <c r="K38" s="35">
        <f t="shared" si="26"/>
        <v>405.06050119479863</v>
      </c>
      <c r="L38" s="35">
        <f t="shared" si="26"/>
        <v>411.92059561627576</v>
      </c>
      <c r="M38" s="35">
        <f t="shared" si="26"/>
        <v>461.68395823626491</v>
      </c>
      <c r="N38" s="35">
        <f t="shared" si="26"/>
        <v>458.26664164423721</v>
      </c>
      <c r="O38" s="35">
        <f t="shared" si="26"/>
        <v>390.27779065530706</v>
      </c>
      <c r="P38" s="188">
        <f t="shared" ref="P38:S38" si="27">(P32/P35)*1000</f>
        <v>405.81257069201826</v>
      </c>
      <c r="Q38" s="188">
        <f t="shared" si="27"/>
        <v>419.11574236811629</v>
      </c>
      <c r="R38" s="188">
        <f t="shared" si="27"/>
        <v>403.04982654024832</v>
      </c>
      <c r="S38" s="188">
        <f t="shared" si="27"/>
        <v>478.36069479388601</v>
      </c>
      <c r="V38" s="140"/>
      <c r="W38" s="141"/>
    </row>
    <row r="39" spans="2:23" x14ac:dyDescent="0.25">
      <c r="B39" s="42" t="s">
        <v>113</v>
      </c>
      <c r="D39" s="35">
        <f>(D33/D35)*1000</f>
        <v>1025.0670175041109</v>
      </c>
      <c r="E39" s="35">
        <f t="shared" ref="E39:O39" si="28">(E33/E35)*1000</f>
        <v>893.69551700473176</v>
      </c>
      <c r="F39" s="35">
        <f t="shared" si="28"/>
        <v>948.84622423739881</v>
      </c>
      <c r="G39" s="35">
        <f t="shared" si="28"/>
        <v>1065.1533479595996</v>
      </c>
      <c r="H39" s="35">
        <f t="shared" si="28"/>
        <v>1054.7655798493572</v>
      </c>
      <c r="I39" s="35">
        <f t="shared" si="28"/>
        <v>1064.8572462575391</v>
      </c>
      <c r="J39" s="35">
        <f t="shared" si="28"/>
        <v>839.78201787652722</v>
      </c>
      <c r="K39" s="35">
        <f t="shared" si="28"/>
        <v>770.47092634437297</v>
      </c>
      <c r="L39" s="35">
        <f t="shared" si="28"/>
        <v>843.16765470058408</v>
      </c>
      <c r="M39" s="35">
        <f t="shared" si="28"/>
        <v>1303.3716256278969</v>
      </c>
      <c r="N39" s="35">
        <f t="shared" si="28"/>
        <v>1315.9398474762195</v>
      </c>
      <c r="O39" s="35">
        <f t="shared" si="28"/>
        <v>1230.4790447953128</v>
      </c>
      <c r="P39" s="188">
        <f t="shared" ref="P39:S39" si="29">(P33/P35)*1000</f>
        <v>994.51285281521928</v>
      </c>
      <c r="Q39" s="188">
        <f t="shared" si="29"/>
        <v>867.28501330411177</v>
      </c>
      <c r="R39" s="188">
        <f t="shared" si="29"/>
        <v>973.50226197495851</v>
      </c>
      <c r="S39" s="188">
        <f t="shared" si="29"/>
        <v>1047.4347970411502</v>
      </c>
      <c r="V39" s="140"/>
      <c r="W39" s="141"/>
    </row>
    <row r="40" spans="2:23" x14ac:dyDescent="0.25"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188"/>
      <c r="Q40" s="188"/>
      <c r="R40" s="188"/>
      <c r="S40" s="188"/>
      <c r="V40" s="140"/>
      <c r="W40" s="141"/>
    </row>
    <row r="41" spans="2:23" x14ac:dyDescent="0.25">
      <c r="B41" s="42" t="s">
        <v>74</v>
      </c>
      <c r="D41" s="35"/>
      <c r="E41" s="35"/>
      <c r="F41" s="35"/>
      <c r="G41" s="35"/>
      <c r="H41" s="35">
        <f>(8/31)*H12*1000</f>
        <v>82253.59111832222</v>
      </c>
      <c r="I41" s="35">
        <f>I12*1000</f>
        <v>-488914.57352279034</v>
      </c>
      <c r="J41" s="35">
        <f t="shared" ref="J41:O41" si="30">J12*1000</f>
        <v>-86585.814176807617</v>
      </c>
      <c r="K41" s="35">
        <f t="shared" si="30"/>
        <v>64064.461328536709</v>
      </c>
      <c r="L41" s="35">
        <f t="shared" si="30"/>
        <v>72107.978755444492</v>
      </c>
      <c r="M41" s="35">
        <f t="shared" si="30"/>
        <v>940379.2902767855</v>
      </c>
      <c r="N41" s="35">
        <f t="shared" si="30"/>
        <v>704511.74509068369</v>
      </c>
      <c r="O41" s="35">
        <f t="shared" si="30"/>
        <v>-1674485.5703685898</v>
      </c>
      <c r="P41" s="188">
        <f t="shared" ref="P41:S41" si="31">P12*1000</f>
        <v>-611089.14979140903</v>
      </c>
      <c r="Q41" s="188">
        <f t="shared" si="31"/>
        <v>-115256.0596118783</v>
      </c>
      <c r="R41" s="188">
        <f t="shared" si="31"/>
        <v>-1171091.1973772964</v>
      </c>
      <c r="S41" s="188">
        <f t="shared" si="31"/>
        <v>1240169.9964793115</v>
      </c>
      <c r="V41" s="142">
        <f>SUM(L41:O41)</f>
        <v>42513.443754323758</v>
      </c>
      <c r="W41" s="181">
        <f t="shared" ref="W41" si="32">SUM(I41:L41,Q41:T41)</f>
        <v>-485505.20812547999</v>
      </c>
    </row>
    <row r="42" spans="2:23" x14ac:dyDescent="0.25"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188"/>
      <c r="Q42" s="188"/>
      <c r="R42" s="188"/>
      <c r="S42" s="188"/>
      <c r="V42" s="140"/>
      <c r="W42" s="141"/>
    </row>
    <row r="43" spans="2:23" x14ac:dyDescent="0.25">
      <c r="B43" s="42" t="s">
        <v>137</v>
      </c>
      <c r="D43" s="35"/>
      <c r="E43" s="35"/>
      <c r="F43" s="35"/>
      <c r="G43" s="35"/>
      <c r="H43" s="35">
        <f>(8/31)*H36</f>
        <v>390.42558601466419</v>
      </c>
      <c r="I43" s="35">
        <f>I36</f>
        <v>1499.9383259449539</v>
      </c>
      <c r="J43" s="35">
        <f t="shared" ref="J43:O43" si="33">J36</f>
        <v>1260.1661887716605</v>
      </c>
      <c r="K43" s="35">
        <f t="shared" si="33"/>
        <v>1175.5314275391718</v>
      </c>
      <c r="L43" s="35">
        <f t="shared" si="33"/>
        <v>1255.0882503168598</v>
      </c>
      <c r="M43" s="35">
        <f t="shared" si="33"/>
        <v>1765.0555838641619</v>
      </c>
      <c r="N43" s="35">
        <f t="shared" si="33"/>
        <v>1774.2064891204566</v>
      </c>
      <c r="O43" s="35">
        <f t="shared" si="33"/>
        <v>1620.75683545062</v>
      </c>
      <c r="P43" s="188">
        <f t="shared" ref="P43:S43" si="34">P36</f>
        <v>1400.3254235072375</v>
      </c>
      <c r="Q43" s="188">
        <f t="shared" si="34"/>
        <v>1286.4007556722281</v>
      </c>
      <c r="R43" s="188">
        <f t="shared" si="34"/>
        <v>1376.5520885152066</v>
      </c>
      <c r="S43" s="188">
        <f t="shared" si="34"/>
        <v>1525.7954918350363</v>
      </c>
      <c r="V43" s="142">
        <f>SUM(L43:O43)</f>
        <v>6415.1071587520983</v>
      </c>
      <c r="W43" s="181">
        <f t="shared" ref="W43" si="35">SUM(I43:L43,Q43:T43)</f>
        <v>9379.4725285951172</v>
      </c>
    </row>
    <row r="44" spans="2:23" x14ac:dyDescent="0.25"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188"/>
      <c r="Q44" s="188"/>
      <c r="R44" s="188"/>
      <c r="S44" s="188"/>
    </row>
    <row r="45" spans="2:23" x14ac:dyDescent="0.25"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188"/>
      <c r="Q45" s="188"/>
      <c r="R45" s="188"/>
      <c r="S45" s="188"/>
    </row>
    <row r="46" spans="2:23" x14ac:dyDescent="0.25"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188"/>
      <c r="Q46" s="188"/>
      <c r="R46" s="188"/>
      <c r="S46" s="188"/>
    </row>
    <row r="47" spans="2:23" x14ac:dyDescent="0.25"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188"/>
      <c r="Q47" s="188"/>
      <c r="R47" s="188"/>
      <c r="S47" s="188"/>
    </row>
  </sheetData>
  <pageMargins left="0.7" right="0.7" top="0.75" bottom="0.75" header="0.3" footer="0.3"/>
  <pageSetup scale="65" fitToHeight="0" orientation="landscape" r:id="rId1"/>
  <headerFooter differentFirst="1">
    <oddFooter>&amp;CPage &amp;P of &amp;N</oddFooter>
    <firstFooter>&amp;CPage &amp;P of &amp;N</firstFooter>
  </headerFooter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B1" zoomScale="80" zoomScaleNormal="80" workbookViewId="0">
      <selection activeCell="V20" sqref="V20"/>
    </sheetView>
  </sheetViews>
  <sheetFormatPr defaultRowHeight="15" x14ac:dyDescent="0.25"/>
  <cols>
    <col min="2" max="2" width="38.28515625" customWidth="1"/>
    <col min="3" max="14" width="14.7109375" customWidth="1"/>
    <col min="15" max="18" width="14.7109375" style="187" customWidth="1"/>
    <col min="19" max="21" width="12.28515625" bestFit="1" customWidth="1"/>
    <col min="22" max="22" width="10.28515625" bestFit="1" customWidth="1"/>
  </cols>
  <sheetData>
    <row r="1" spans="1:22" x14ac:dyDescent="0.25">
      <c r="A1" s="42"/>
    </row>
    <row r="2" spans="1:22" x14ac:dyDescent="0.25">
      <c r="A2" s="42"/>
    </row>
    <row r="3" spans="1:22" x14ac:dyDescent="0.25">
      <c r="A3" s="42"/>
    </row>
    <row r="4" spans="1:22" x14ac:dyDescent="0.25">
      <c r="A4" s="61" t="s">
        <v>141</v>
      </c>
    </row>
    <row r="5" spans="1:22" x14ac:dyDescent="0.25">
      <c r="A5" s="61" t="s">
        <v>142</v>
      </c>
    </row>
    <row r="6" spans="1:22" x14ac:dyDescent="0.25">
      <c r="A6" s="61" t="s">
        <v>143</v>
      </c>
    </row>
    <row r="7" spans="1:22" x14ac:dyDescent="0.25">
      <c r="A7" s="61" t="s">
        <v>184</v>
      </c>
    </row>
    <row r="8" spans="1:22" x14ac:dyDescent="0.25">
      <c r="C8" s="27">
        <v>43374</v>
      </c>
      <c r="D8" s="27">
        <v>43405</v>
      </c>
      <c r="E8" s="28">
        <v>43435</v>
      </c>
      <c r="F8" s="28">
        <v>43466</v>
      </c>
      <c r="G8" s="28">
        <v>43497</v>
      </c>
      <c r="H8" s="28">
        <v>43525</v>
      </c>
      <c r="I8" s="27">
        <v>43556</v>
      </c>
      <c r="J8" s="27">
        <v>43586</v>
      </c>
      <c r="K8" s="27">
        <v>43617</v>
      </c>
      <c r="L8" s="27">
        <v>43647</v>
      </c>
      <c r="M8" s="27">
        <v>43678</v>
      </c>
      <c r="N8" s="27">
        <v>43709</v>
      </c>
      <c r="O8" s="27">
        <v>43739</v>
      </c>
      <c r="P8" s="27">
        <v>43770</v>
      </c>
      <c r="Q8" s="27">
        <v>43800</v>
      </c>
      <c r="R8" s="27">
        <v>43831</v>
      </c>
    </row>
    <row r="9" spans="1:22" x14ac:dyDescent="0.25">
      <c r="C9" s="29" t="s">
        <v>90</v>
      </c>
      <c r="D9" s="29" t="s">
        <v>91</v>
      </c>
      <c r="E9" s="30" t="s">
        <v>92</v>
      </c>
      <c r="F9" s="30" t="s">
        <v>93</v>
      </c>
      <c r="G9" s="30" t="s">
        <v>94</v>
      </c>
      <c r="H9" s="30" t="s">
        <v>95</v>
      </c>
      <c r="I9" s="29" t="s">
        <v>96</v>
      </c>
      <c r="J9" s="29" t="s">
        <v>97</v>
      </c>
      <c r="K9" s="29" t="s">
        <v>98</v>
      </c>
      <c r="L9" s="29" t="s">
        <v>99</v>
      </c>
      <c r="M9" s="29" t="s">
        <v>100</v>
      </c>
      <c r="N9" s="29" t="s">
        <v>101</v>
      </c>
      <c r="O9" s="29" t="s">
        <v>218</v>
      </c>
      <c r="P9" s="29" t="s">
        <v>219</v>
      </c>
      <c r="Q9" s="29" t="s">
        <v>220</v>
      </c>
      <c r="R9" s="29" t="s">
        <v>221</v>
      </c>
      <c r="U9" s="36" t="s">
        <v>66</v>
      </c>
      <c r="V9" s="31" t="s">
        <v>67</v>
      </c>
    </row>
    <row r="10" spans="1:22" x14ac:dyDescent="0.25">
      <c r="A10" t="s">
        <v>54</v>
      </c>
      <c r="B10" s="26" t="s">
        <v>21</v>
      </c>
      <c r="C10" s="35">
        <f>'WN Summary'!C51</f>
        <v>6131.8</v>
      </c>
      <c r="D10" s="35">
        <f>'WN Summary'!D51</f>
        <v>6448.058</v>
      </c>
      <c r="E10" s="35">
        <f>'WN Summary'!E51</f>
        <v>8053.8379999999997</v>
      </c>
      <c r="F10" s="35">
        <f>'WN Summary'!F51</f>
        <v>8630.1710000000003</v>
      </c>
      <c r="G10" s="35">
        <f>'WN Summary'!G51</f>
        <v>9292.1689999999999</v>
      </c>
      <c r="H10" s="35">
        <f>'WN Summary'!H51</f>
        <v>8588.6949999999997</v>
      </c>
      <c r="I10" s="35">
        <f>'WN Summary'!I51</f>
        <v>6145.9129999999996</v>
      </c>
      <c r="J10" s="35">
        <f>'WN Summary'!J51</f>
        <v>5133.8689999999997</v>
      </c>
      <c r="K10" s="35">
        <f>'WN Summary'!K51</f>
        <v>5641.3040000000001</v>
      </c>
      <c r="L10" s="35">
        <f>'WN Summary'!L51</f>
        <v>6940.9179999999997</v>
      </c>
      <c r="M10" s="35">
        <f>'WN Summary'!M51</f>
        <v>7257.317</v>
      </c>
      <c r="N10" s="35">
        <f>'WN Summary'!N51</f>
        <v>7548.3490000000002</v>
      </c>
      <c r="O10" s="188">
        <f>'WN Summary'!O51</f>
        <v>5882.28</v>
      </c>
      <c r="P10" s="188">
        <f>'WN Summary'!P51</f>
        <v>6726.1009999999997</v>
      </c>
      <c r="Q10" s="188">
        <f>'WN Summary'!Q51</f>
        <v>7478.2</v>
      </c>
      <c r="R10" s="188">
        <f>'WN Summary'!R51</f>
        <v>8239.2870000000003</v>
      </c>
      <c r="S10" s="32">
        <f>SUM(G10:R10)</f>
        <v>84874.401999999987</v>
      </c>
      <c r="U10" s="38"/>
      <c r="V10" s="39"/>
    </row>
    <row r="11" spans="1:22" x14ac:dyDescent="0.25">
      <c r="A11" t="s">
        <v>54</v>
      </c>
      <c r="B11" s="26" t="s">
        <v>22</v>
      </c>
      <c r="C11" s="58">
        <f>'WN Summary'!C52</f>
        <v>5709.2029310405906</v>
      </c>
      <c r="D11" s="58">
        <f>'WN Summary'!D52</f>
        <v>5763.4765512539034</v>
      </c>
      <c r="E11" s="58">
        <f>'WN Summary'!E52</f>
        <v>7719.5016223463699</v>
      </c>
      <c r="F11" s="58">
        <f>'WN Summary'!F52</f>
        <v>8990.3242420179868</v>
      </c>
      <c r="G11" s="58">
        <f>'WN Summary'!G52</f>
        <v>9518.244118444034</v>
      </c>
      <c r="H11" s="58">
        <f>'WN Summary'!H52</f>
        <v>8261.3585468138062</v>
      </c>
      <c r="I11" s="58">
        <f>'WN Summary'!I52</f>
        <v>6080.176471795523</v>
      </c>
      <c r="J11" s="58">
        <f>'WN Summary'!J52</f>
        <v>5208.6879644649225</v>
      </c>
      <c r="K11" s="58">
        <f>'WN Summary'!K52</f>
        <v>5654.3288693682525</v>
      </c>
      <c r="L11" s="58">
        <f>'WN Summary'!L52</f>
        <v>7131.2803109299712</v>
      </c>
      <c r="M11" s="58">
        <f>'WN Summary'!M52</f>
        <v>7406.2382951286245</v>
      </c>
      <c r="N11" s="58">
        <f>'WN Summary'!N52</f>
        <v>7131.8844964076898</v>
      </c>
      <c r="O11" s="58">
        <f>'WN Summary'!O52</f>
        <v>5709.2029310405906</v>
      </c>
      <c r="P11" s="58">
        <f>'WN Summary'!P52</f>
        <v>5767.2795710831706</v>
      </c>
      <c r="Q11" s="58">
        <f>'WN Summary'!Q52</f>
        <v>7688.9696449343201</v>
      </c>
      <c r="R11" s="58">
        <f>'WN Summary'!R52</f>
        <v>8966.5795758125896</v>
      </c>
      <c r="U11" s="38"/>
      <c r="V11" s="39"/>
    </row>
    <row r="12" spans="1:22" x14ac:dyDescent="0.25">
      <c r="C12" s="35">
        <f>C11-C10</f>
        <v>-422.59706895940963</v>
      </c>
      <c r="D12" s="35">
        <f t="shared" ref="D12:N12" si="0">D11-D10</f>
        <v>-684.58144874609661</v>
      </c>
      <c r="E12" s="35">
        <f t="shared" si="0"/>
        <v>-334.33637765362982</v>
      </c>
      <c r="F12" s="35">
        <f t="shared" si="0"/>
        <v>360.15324201798649</v>
      </c>
      <c r="G12" s="35">
        <f t="shared" si="0"/>
        <v>226.07511844403416</v>
      </c>
      <c r="H12" s="35">
        <f t="shared" si="0"/>
        <v>-327.33645318619347</v>
      </c>
      <c r="I12" s="35">
        <f t="shared" si="0"/>
        <v>-65.736528204476599</v>
      </c>
      <c r="J12" s="35">
        <f t="shared" si="0"/>
        <v>74.818964464922828</v>
      </c>
      <c r="K12" s="35">
        <f t="shared" si="0"/>
        <v>13.024869368252439</v>
      </c>
      <c r="L12" s="35">
        <f t="shared" si="0"/>
        <v>190.3623109299715</v>
      </c>
      <c r="M12" s="35">
        <f t="shared" si="0"/>
        <v>148.92129512862448</v>
      </c>
      <c r="N12" s="35">
        <f t="shared" si="0"/>
        <v>-416.46450359231039</v>
      </c>
      <c r="O12" s="188">
        <f t="shared" ref="O12:R12" si="1">O11-O10</f>
        <v>-173.07706895940919</v>
      </c>
      <c r="P12" s="188">
        <f t="shared" si="1"/>
        <v>-958.82142891682906</v>
      </c>
      <c r="Q12" s="188">
        <f t="shared" si="1"/>
        <v>210.76964493432024</v>
      </c>
      <c r="R12" s="188">
        <f t="shared" si="1"/>
        <v>727.29257581258935</v>
      </c>
      <c r="U12" s="38"/>
      <c r="V12" s="39"/>
    </row>
    <row r="13" spans="1:22" x14ac:dyDescent="0.25">
      <c r="U13" s="38"/>
      <c r="V13" s="39"/>
    </row>
    <row r="14" spans="1:22" x14ac:dyDescent="0.25">
      <c r="A14" t="s">
        <v>54</v>
      </c>
      <c r="B14" t="s">
        <v>103</v>
      </c>
      <c r="C14" s="35">
        <f>'Bills Combined'!G16</f>
        <v>3074</v>
      </c>
      <c r="D14" s="35">
        <f>'Bills Combined'!H16</f>
        <v>3071</v>
      </c>
      <c r="E14" s="35">
        <f>'Bills Combined'!I16</f>
        <v>3085</v>
      </c>
      <c r="F14" s="35">
        <f>'Bills Combined'!J16</f>
        <v>3100</v>
      </c>
      <c r="G14" s="35">
        <f>'Bills Combined'!K16</f>
        <v>3073</v>
      </c>
      <c r="H14" s="35">
        <f>'Bills Combined'!L16</f>
        <v>3092</v>
      </c>
      <c r="I14" s="35">
        <f>'Bills Combined'!M16</f>
        <v>3077</v>
      </c>
      <c r="J14" s="35">
        <f>'Bills Combined'!N16</f>
        <v>3053</v>
      </c>
      <c r="K14" s="35">
        <f>'Bills Combined'!O16</f>
        <v>3054</v>
      </c>
      <c r="L14" s="35">
        <f>'Bills Combined'!P16</f>
        <v>3066</v>
      </c>
      <c r="M14" s="35">
        <f>'Bills Combined'!Q16</f>
        <v>3042</v>
      </c>
      <c r="N14" s="35">
        <f>'Bills Combined'!R16</f>
        <v>3022</v>
      </c>
      <c r="O14" s="188">
        <f>'Bills Combined'!S16</f>
        <v>3074</v>
      </c>
      <c r="P14" s="188">
        <f>'Bills Combined'!T16</f>
        <v>3071</v>
      </c>
      <c r="Q14" s="188">
        <f>'Bills Combined'!U16</f>
        <v>3085</v>
      </c>
      <c r="R14" s="188">
        <f>'Bills Combined'!V16</f>
        <v>3100</v>
      </c>
      <c r="U14" s="38"/>
      <c r="V14" s="39"/>
    </row>
    <row r="15" spans="1:22" x14ac:dyDescent="0.25">
      <c r="A15" t="s">
        <v>54</v>
      </c>
      <c r="B15" t="s">
        <v>104</v>
      </c>
      <c r="C15" s="35">
        <f>'Bills Combined'!G17</f>
        <v>1899</v>
      </c>
      <c r="D15" s="35">
        <f>'Bills Combined'!H17</f>
        <v>1996</v>
      </c>
      <c r="E15" s="35">
        <f>'Bills Combined'!I17</f>
        <v>2223</v>
      </c>
      <c r="F15" s="35">
        <f>'Bills Combined'!J17</f>
        <v>2249</v>
      </c>
      <c r="G15" s="35">
        <f>'Bills Combined'!K17</f>
        <v>2278</v>
      </c>
      <c r="H15" s="35">
        <f>'Bills Combined'!L17</f>
        <v>2268</v>
      </c>
      <c r="I15" s="35">
        <f>'Bills Combined'!M17</f>
        <v>1951</v>
      </c>
      <c r="J15" s="35">
        <f>'Bills Combined'!N17</f>
        <v>1676</v>
      </c>
      <c r="K15" s="35">
        <f>'Bills Combined'!O17</f>
        <v>1725</v>
      </c>
      <c r="L15" s="35">
        <f>'Bills Combined'!P17</f>
        <v>1926</v>
      </c>
      <c r="M15" s="35">
        <f>'Bills Combined'!Q17</f>
        <v>1988</v>
      </c>
      <c r="N15" s="35">
        <f>'Bills Combined'!R17</f>
        <v>1986</v>
      </c>
      <c r="O15" s="188">
        <f>'Bills Combined'!S17</f>
        <v>1899</v>
      </c>
      <c r="P15" s="188">
        <f>'Bills Combined'!T17</f>
        <v>1996</v>
      </c>
      <c r="Q15" s="188">
        <f>'Bills Combined'!U17</f>
        <v>2223</v>
      </c>
      <c r="R15" s="188">
        <f>'Bills Combined'!V17</f>
        <v>2249</v>
      </c>
      <c r="U15" s="38"/>
      <c r="V15" s="39"/>
    </row>
    <row r="16" spans="1:22" x14ac:dyDescent="0.25"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188"/>
      <c r="P16" s="188"/>
      <c r="Q16" s="188"/>
      <c r="R16" s="188"/>
      <c r="U16" s="38"/>
      <c r="V16" s="39"/>
    </row>
    <row r="17" spans="2:22" x14ac:dyDescent="0.25">
      <c r="B17" t="s">
        <v>87</v>
      </c>
      <c r="C17" s="34">
        <f>1-C18</f>
        <v>0.38223812621990894</v>
      </c>
      <c r="D17" s="34">
        <f t="shared" ref="D17:R17" si="2">1-D18</f>
        <v>0.35004884402474767</v>
      </c>
      <c r="E17" s="34">
        <f t="shared" si="2"/>
        <v>0.27941653160453805</v>
      </c>
      <c r="F17" s="34">
        <f t="shared" si="2"/>
        <v>0.27451612903225808</v>
      </c>
      <c r="G17" s="34">
        <f t="shared" si="2"/>
        <v>0.25870484868206967</v>
      </c>
      <c r="H17" s="34">
        <f t="shared" si="2"/>
        <v>0.26649417852522639</v>
      </c>
      <c r="I17" s="34">
        <f t="shared" si="2"/>
        <v>0.36594085147871303</v>
      </c>
      <c r="J17" s="34">
        <f t="shared" si="2"/>
        <v>0.45103177202751388</v>
      </c>
      <c r="K17" s="34">
        <f t="shared" si="2"/>
        <v>0.43516699410609039</v>
      </c>
      <c r="L17" s="34">
        <f t="shared" si="2"/>
        <v>0.37181996086105673</v>
      </c>
      <c r="M17" s="34">
        <f t="shared" si="2"/>
        <v>0.34648257725180798</v>
      </c>
      <c r="N17" s="34">
        <f t="shared" si="2"/>
        <v>0.34281932495036405</v>
      </c>
      <c r="O17" s="34">
        <f t="shared" si="2"/>
        <v>0.38223812621990894</v>
      </c>
      <c r="P17" s="34">
        <f t="shared" si="2"/>
        <v>0.35004884402474767</v>
      </c>
      <c r="Q17" s="34">
        <f t="shared" si="2"/>
        <v>0.27941653160453805</v>
      </c>
      <c r="R17" s="34">
        <f t="shared" si="2"/>
        <v>0.27451612903225808</v>
      </c>
      <c r="U17" s="38"/>
      <c r="V17" s="39"/>
    </row>
    <row r="18" spans="2:22" x14ac:dyDescent="0.25">
      <c r="B18" t="s">
        <v>88</v>
      </c>
      <c r="C18" s="34">
        <f t="shared" ref="C18:N18" si="3">C15/C14</f>
        <v>0.61776187378009106</v>
      </c>
      <c r="D18" s="34">
        <f t="shared" si="3"/>
        <v>0.64995115597525233</v>
      </c>
      <c r="E18" s="34">
        <f t="shared" si="3"/>
        <v>0.72058346839546195</v>
      </c>
      <c r="F18" s="34">
        <f t="shared" si="3"/>
        <v>0.72548387096774192</v>
      </c>
      <c r="G18" s="34">
        <f t="shared" si="3"/>
        <v>0.74129515131793033</v>
      </c>
      <c r="H18" s="34">
        <f t="shared" si="3"/>
        <v>0.73350582147477361</v>
      </c>
      <c r="I18" s="34">
        <f t="shared" si="3"/>
        <v>0.63405914852128697</v>
      </c>
      <c r="J18" s="34">
        <f t="shared" si="3"/>
        <v>0.54896822797248612</v>
      </c>
      <c r="K18" s="34">
        <f t="shared" si="3"/>
        <v>0.56483300589390961</v>
      </c>
      <c r="L18" s="34">
        <f t="shared" si="3"/>
        <v>0.62818003913894327</v>
      </c>
      <c r="M18" s="34">
        <f t="shared" si="3"/>
        <v>0.65351742274819202</v>
      </c>
      <c r="N18" s="34">
        <f t="shared" si="3"/>
        <v>0.65718067504963595</v>
      </c>
      <c r="O18" s="34">
        <f t="shared" ref="O18:R18" si="4">O15/O14</f>
        <v>0.61776187378009106</v>
      </c>
      <c r="P18" s="34">
        <f t="shared" si="4"/>
        <v>0.64995115597525233</v>
      </c>
      <c r="Q18" s="34">
        <f t="shared" si="4"/>
        <v>0.72058346839546195</v>
      </c>
      <c r="R18" s="34">
        <f t="shared" si="4"/>
        <v>0.72548387096774192</v>
      </c>
      <c r="U18" s="38"/>
      <c r="V18" s="39"/>
    </row>
    <row r="19" spans="2:22" x14ac:dyDescent="0.25">
      <c r="U19" s="38"/>
      <c r="V19" s="39"/>
    </row>
    <row r="20" spans="2:22" x14ac:dyDescent="0.25">
      <c r="B20" t="s">
        <v>105</v>
      </c>
      <c r="C20" s="35">
        <f t="shared" ref="C20:N20" si="5">C12*C17</f>
        <v>-161.53271178507038</v>
      </c>
      <c r="D20" s="35">
        <f t="shared" si="5"/>
        <v>-239.63694477435817</v>
      </c>
      <c r="E20" s="35">
        <f t="shared" si="5"/>
        <v>-93.419111033202228</v>
      </c>
      <c r="F20" s="35">
        <f t="shared" si="5"/>
        <v>98.867873857195647</v>
      </c>
      <c r="G20" s="35">
        <f t="shared" si="5"/>
        <v>58.486729307844833</v>
      </c>
      <c r="H20" s="35">
        <f t="shared" si="5"/>
        <v>-87.233259193215858</v>
      </c>
      <c r="I20" s="35">
        <f t="shared" si="5"/>
        <v>-24.055681104400602</v>
      </c>
      <c r="J20" s="35">
        <f t="shared" si="5"/>
        <v>33.745730123877735</v>
      </c>
      <c r="K20" s="35">
        <f t="shared" si="5"/>
        <v>5.667993251606906</v>
      </c>
      <c r="L20" s="35">
        <f t="shared" si="5"/>
        <v>70.78050699940232</v>
      </c>
      <c r="M20" s="35">
        <f t="shared" si="5"/>
        <v>51.598634143842929</v>
      </c>
      <c r="N20" s="35">
        <f t="shared" si="5"/>
        <v>-142.77207998730432</v>
      </c>
      <c r="O20" s="188">
        <f t="shared" ref="O20:R20" si="6">O12*O17</f>
        <v>-66.156654530678537</v>
      </c>
      <c r="P20" s="188">
        <f t="shared" si="6"/>
        <v>-335.63433281849279</v>
      </c>
      <c r="Q20" s="188">
        <f t="shared" si="6"/>
        <v>58.892523155067757</v>
      </c>
      <c r="R20" s="188">
        <f t="shared" si="6"/>
        <v>199.65354258597213</v>
      </c>
      <c r="S20" s="32">
        <f>SUM(G20:R20)</f>
        <v>-177.02634806647748</v>
      </c>
      <c r="T20" s="32">
        <f>SUM(S20:S21)</f>
        <v>-350.17120377650372</v>
      </c>
      <c r="U20" s="38">
        <f>SUM(K20:N20)</f>
        <v>-14.724945592452173</v>
      </c>
      <c r="V20" s="181">
        <f t="shared" ref="V20:V21" si="7">SUM(H20:K20,P20:S20)</f>
        <v>-325.98983206606221</v>
      </c>
    </row>
    <row r="21" spans="2:22" x14ac:dyDescent="0.25">
      <c r="B21" t="s">
        <v>106</v>
      </c>
      <c r="C21" s="35">
        <f t="shared" ref="C21:N21" si="8">C18*C12</f>
        <v>-261.06435717433925</v>
      </c>
      <c r="D21" s="35">
        <f t="shared" si="8"/>
        <v>-444.94450397173847</v>
      </c>
      <c r="E21" s="35">
        <f t="shared" si="8"/>
        <v>-240.9172666204276</v>
      </c>
      <c r="F21" s="35">
        <f t="shared" si="8"/>
        <v>261.28536816079082</v>
      </c>
      <c r="G21" s="35">
        <f t="shared" si="8"/>
        <v>167.58838913618933</v>
      </c>
      <c r="H21" s="35">
        <f t="shared" si="8"/>
        <v>-240.10319399297762</v>
      </c>
      <c r="I21" s="35">
        <f t="shared" si="8"/>
        <v>-41.680847100076001</v>
      </c>
      <c r="J21" s="35">
        <f t="shared" si="8"/>
        <v>41.073234341045094</v>
      </c>
      <c r="K21" s="35">
        <f t="shared" si="8"/>
        <v>7.356876116645533</v>
      </c>
      <c r="L21" s="35">
        <f t="shared" si="8"/>
        <v>119.58180393056918</v>
      </c>
      <c r="M21" s="35">
        <f t="shared" si="8"/>
        <v>97.32266098478155</v>
      </c>
      <c r="N21" s="35">
        <f t="shared" si="8"/>
        <v>-273.69242360500607</v>
      </c>
      <c r="O21" s="188">
        <f t="shared" ref="O21:R21" si="9">O18*O12</f>
        <v>-106.92041442873065</v>
      </c>
      <c r="P21" s="188">
        <f t="shared" si="9"/>
        <v>-623.18709609833627</v>
      </c>
      <c r="Q21" s="188">
        <f t="shared" si="9"/>
        <v>151.87712177925249</v>
      </c>
      <c r="R21" s="188">
        <f t="shared" si="9"/>
        <v>527.63903322661724</v>
      </c>
      <c r="S21" s="32">
        <f>SUM(G21:R21)</f>
        <v>-173.14485571002626</v>
      </c>
      <c r="U21" s="38">
        <f>SUM(K21:N21)</f>
        <v>-49.431082573009803</v>
      </c>
      <c r="V21" s="181">
        <f t="shared" si="7"/>
        <v>-350.16972743785573</v>
      </c>
    </row>
    <row r="22" spans="2:22" x14ac:dyDescent="0.25">
      <c r="U22" s="38"/>
      <c r="V22" s="39"/>
    </row>
    <row r="23" spans="2:22" x14ac:dyDescent="0.25">
      <c r="B23" t="s">
        <v>120</v>
      </c>
      <c r="C23" s="35">
        <f>'kWh Combined'!G16</f>
        <v>1626684</v>
      </c>
      <c r="D23" s="35">
        <f>'kWh Combined'!H16</f>
        <v>1660141</v>
      </c>
      <c r="E23" s="35">
        <f>'kWh Combined'!I16</f>
        <v>1749681</v>
      </c>
      <c r="F23" s="35">
        <f>'kWh Combined'!J16</f>
        <v>1762268</v>
      </c>
      <c r="G23" s="35">
        <f>'kWh Combined'!K16</f>
        <v>1767228</v>
      </c>
      <c r="H23" s="35">
        <f>'kWh Combined'!L16</f>
        <v>1763028</v>
      </c>
      <c r="I23" s="35">
        <f>'kWh Combined'!M16</f>
        <v>1654985</v>
      </c>
      <c r="J23" s="35">
        <f>'kWh Combined'!N16</f>
        <v>1537298</v>
      </c>
      <c r="K23" s="35">
        <f>'kWh Combined'!O16</f>
        <v>1545863</v>
      </c>
      <c r="L23" s="35">
        <f>'kWh Combined'!P16</f>
        <v>1622328</v>
      </c>
      <c r="M23" s="35">
        <f>'kWh Combined'!Q16</f>
        <v>1639790</v>
      </c>
      <c r="N23" s="35">
        <f>'kWh Combined'!R16</f>
        <v>1655402</v>
      </c>
      <c r="O23" s="188">
        <f>'kWh Combined'!S16</f>
        <v>1609547</v>
      </c>
      <c r="P23" s="188">
        <f>'kWh Combined'!T16</f>
        <v>1653537</v>
      </c>
      <c r="Q23" s="188">
        <f>'kWh Combined'!U16</f>
        <v>1694619</v>
      </c>
      <c r="R23" s="188">
        <f>'kWh Combined'!V16</f>
        <v>1717027</v>
      </c>
      <c r="S23" s="35"/>
      <c r="T23" s="35"/>
      <c r="U23" s="35"/>
      <c r="V23" s="35">
        <f>'kWh Combined'!Z16</f>
        <v>0</v>
      </c>
    </row>
    <row r="24" spans="2:22" x14ac:dyDescent="0.25">
      <c r="B24" t="s">
        <v>121</v>
      </c>
      <c r="C24" s="35">
        <f>'kWh Combined'!G17</f>
        <v>4505116</v>
      </c>
      <c r="D24" s="35">
        <f>'kWh Combined'!H17</f>
        <v>4787917</v>
      </c>
      <c r="E24" s="35">
        <f>'kWh Combined'!I17</f>
        <v>6304157</v>
      </c>
      <c r="F24" s="35">
        <f>'kWh Combined'!J17</f>
        <v>6867903</v>
      </c>
      <c r="G24" s="35">
        <f>'kWh Combined'!K17</f>
        <v>7524941</v>
      </c>
      <c r="H24" s="35">
        <f>'kWh Combined'!L17</f>
        <v>6825667</v>
      </c>
      <c r="I24" s="35">
        <f>'kWh Combined'!M17</f>
        <v>4490928</v>
      </c>
      <c r="J24" s="35">
        <f>'kWh Combined'!N17</f>
        <v>3596571</v>
      </c>
      <c r="K24" s="35">
        <f>'kWh Combined'!O17</f>
        <v>4095441</v>
      </c>
      <c r="L24" s="35">
        <f>'kWh Combined'!P17</f>
        <v>5318590</v>
      </c>
      <c r="M24" s="35">
        <f>'kWh Combined'!Q17</f>
        <v>5617527</v>
      </c>
      <c r="N24" s="35">
        <f>'kWh Combined'!R17</f>
        <v>5892947</v>
      </c>
      <c r="O24" s="188">
        <f>'kWh Combined'!S17</f>
        <v>4272733</v>
      </c>
      <c r="P24" s="188">
        <f>'kWh Combined'!T17</f>
        <v>5072564</v>
      </c>
      <c r="Q24" s="188">
        <f>'kWh Combined'!U17</f>
        <v>5783581</v>
      </c>
      <c r="R24" s="188">
        <f>'kWh Combined'!V17</f>
        <v>6522260</v>
      </c>
      <c r="S24" s="35"/>
      <c r="T24" s="35"/>
      <c r="U24" s="35"/>
      <c r="V24" s="35">
        <f>'kWh Combined'!Z17</f>
        <v>0</v>
      </c>
    </row>
    <row r="25" spans="2:22" x14ac:dyDescent="0.25">
      <c r="U25" s="38"/>
      <c r="V25" s="39"/>
    </row>
    <row r="26" spans="2:22" x14ac:dyDescent="0.25">
      <c r="B26" t="s">
        <v>87</v>
      </c>
      <c r="C26" s="34">
        <f t="shared" ref="C26:H26" si="10">C23/SUM(C23:C24)</f>
        <v>0.26528653902606086</v>
      </c>
      <c r="D26" s="34">
        <f t="shared" si="10"/>
        <v>0.25746372008440371</v>
      </c>
      <c r="E26" s="34">
        <f t="shared" si="10"/>
        <v>0.21724809960170544</v>
      </c>
      <c r="F26" s="34">
        <f t="shared" si="10"/>
        <v>0.2041985031351059</v>
      </c>
      <c r="G26" s="34">
        <f t="shared" si="10"/>
        <v>0.19018465979256297</v>
      </c>
      <c r="H26" s="34">
        <f t="shared" si="10"/>
        <v>0.20527309445730696</v>
      </c>
      <c r="I26" s="34">
        <f t="shared" ref="I26:J26" si="11">I23/SUM(I23:I24)</f>
        <v>0.26928220428762983</v>
      </c>
      <c r="J26" s="34">
        <f t="shared" si="11"/>
        <v>0.29944238935586398</v>
      </c>
      <c r="K26" s="34">
        <f>K23/SUM(K23:K24)</f>
        <v>0.27402582807095666</v>
      </c>
      <c r="L26" s="34">
        <f>L23/SUM(L23:L24)</f>
        <v>0.23373392395645648</v>
      </c>
      <c r="M26" s="34">
        <f>M23/SUM(M23:M24)</f>
        <v>0.22594989305276317</v>
      </c>
      <c r="N26" s="34">
        <f>N23/SUM(N23:N24)</f>
        <v>0.21930650000417309</v>
      </c>
      <c r="O26" s="34">
        <f t="shared" ref="O26:R26" si="12">O23/SUM(O23:O24)</f>
        <v>0.27362638296714881</v>
      </c>
      <c r="P26" s="34">
        <f t="shared" si="12"/>
        <v>0.24583885969003438</v>
      </c>
      <c r="Q26" s="34">
        <f t="shared" si="12"/>
        <v>0.22660787355245915</v>
      </c>
      <c r="R26" s="34">
        <f t="shared" si="12"/>
        <v>0.20839509535230416</v>
      </c>
      <c r="U26" s="38"/>
      <c r="V26" s="39"/>
    </row>
    <row r="27" spans="2:22" x14ac:dyDescent="0.25">
      <c r="B27" t="s">
        <v>88</v>
      </c>
      <c r="C27" s="34">
        <f t="shared" ref="C27:H27" si="13">C24/SUM(C23:C24)</f>
        <v>0.73471346097393919</v>
      </c>
      <c r="D27" s="34">
        <f t="shared" si="13"/>
        <v>0.74253627991559634</v>
      </c>
      <c r="E27" s="34">
        <f t="shared" si="13"/>
        <v>0.78275190039829456</v>
      </c>
      <c r="F27" s="34">
        <f t="shared" si="13"/>
        <v>0.7958014968648941</v>
      </c>
      <c r="G27" s="34">
        <f t="shared" si="13"/>
        <v>0.80981534020743706</v>
      </c>
      <c r="H27" s="34">
        <f t="shared" si="13"/>
        <v>0.79472690554269299</v>
      </c>
      <c r="I27" s="34">
        <f t="shared" ref="I27:J27" si="14">I24/SUM(I23:I24)</f>
        <v>0.73071779571237017</v>
      </c>
      <c r="J27" s="34">
        <f t="shared" si="14"/>
        <v>0.70055761064413602</v>
      </c>
      <c r="K27" s="34">
        <f>K24/SUM(K23:K24)</f>
        <v>0.72597417192904334</v>
      </c>
      <c r="L27" s="34">
        <f>L24/SUM(L23:L24)</f>
        <v>0.76626607604354346</v>
      </c>
      <c r="M27" s="34">
        <f>M24/SUM(M23:M24)</f>
        <v>0.77405010694723686</v>
      </c>
      <c r="N27" s="34">
        <f>N24/SUM(N23:N24)</f>
        <v>0.78069349999582693</v>
      </c>
      <c r="O27" s="34">
        <f t="shared" ref="O27:R27" si="15">O24/SUM(O23:O24)</f>
        <v>0.72637361703285119</v>
      </c>
      <c r="P27" s="34">
        <f t="shared" si="15"/>
        <v>0.75416114030996562</v>
      </c>
      <c r="Q27" s="34">
        <f t="shared" si="15"/>
        <v>0.77339212644754085</v>
      </c>
      <c r="R27" s="34">
        <f t="shared" si="15"/>
        <v>0.79160490464769584</v>
      </c>
      <c r="U27" s="38"/>
      <c r="V27" s="39"/>
    </row>
    <row r="28" spans="2:22" x14ac:dyDescent="0.25">
      <c r="U28" s="38"/>
      <c r="V28" s="39"/>
    </row>
    <row r="29" spans="2:22" x14ac:dyDescent="0.25">
      <c r="B29" t="s">
        <v>107</v>
      </c>
      <c r="C29" s="35">
        <f t="shared" ref="C29:N29" si="16">C10*C26</f>
        <v>1626.684</v>
      </c>
      <c r="D29" s="35">
        <f t="shared" si="16"/>
        <v>1660.1410000000001</v>
      </c>
      <c r="E29" s="35">
        <f t="shared" si="16"/>
        <v>1749.681</v>
      </c>
      <c r="F29" s="35">
        <f t="shared" si="16"/>
        <v>1762.268</v>
      </c>
      <c r="G29" s="35">
        <f t="shared" si="16"/>
        <v>1767.2280000000001</v>
      </c>
      <c r="H29" s="35">
        <f t="shared" si="16"/>
        <v>1763.028</v>
      </c>
      <c r="I29" s="35">
        <f t="shared" si="16"/>
        <v>1654.9849999999999</v>
      </c>
      <c r="J29" s="35">
        <f t="shared" si="16"/>
        <v>1537.298</v>
      </c>
      <c r="K29" s="35">
        <f t="shared" si="16"/>
        <v>1545.8630000000001</v>
      </c>
      <c r="L29" s="35">
        <f t="shared" si="16"/>
        <v>1622.328</v>
      </c>
      <c r="M29" s="35">
        <f t="shared" si="16"/>
        <v>1639.79</v>
      </c>
      <c r="N29" s="35">
        <f t="shared" si="16"/>
        <v>1655.402</v>
      </c>
      <c r="O29" s="188">
        <f t="shared" ref="O29:R29" si="17">O10*O26</f>
        <v>1609.547</v>
      </c>
      <c r="P29" s="188">
        <f t="shared" si="17"/>
        <v>1653.5369999999998</v>
      </c>
      <c r="Q29" s="188">
        <f t="shared" si="17"/>
        <v>1694.6189999999999</v>
      </c>
      <c r="R29" s="188">
        <f t="shared" si="17"/>
        <v>1717.027</v>
      </c>
      <c r="U29" s="38"/>
      <c r="V29" s="39"/>
    </row>
    <row r="30" spans="2:22" x14ac:dyDescent="0.25">
      <c r="B30" t="s">
        <v>108</v>
      </c>
      <c r="C30" s="35">
        <f t="shared" ref="C30:N30" si="18">C10*C27</f>
        <v>4505.1160000000009</v>
      </c>
      <c r="D30" s="35">
        <f t="shared" si="18"/>
        <v>4787.9170000000004</v>
      </c>
      <c r="E30" s="35">
        <f t="shared" si="18"/>
        <v>6304.1569999999992</v>
      </c>
      <c r="F30" s="35">
        <f t="shared" si="18"/>
        <v>6867.9030000000002</v>
      </c>
      <c r="G30" s="35">
        <f t="shared" si="18"/>
        <v>7524.9409999999998</v>
      </c>
      <c r="H30" s="35">
        <f t="shared" si="18"/>
        <v>6825.6669999999995</v>
      </c>
      <c r="I30" s="35">
        <f t="shared" si="18"/>
        <v>4490.9279999999999</v>
      </c>
      <c r="J30" s="35">
        <f t="shared" si="18"/>
        <v>3596.5709999999999</v>
      </c>
      <c r="K30" s="35">
        <f t="shared" si="18"/>
        <v>4095.4409999999998</v>
      </c>
      <c r="L30" s="35">
        <f t="shared" si="18"/>
        <v>5318.5899999999992</v>
      </c>
      <c r="M30" s="35">
        <f t="shared" si="18"/>
        <v>5617.527</v>
      </c>
      <c r="N30" s="35">
        <f t="shared" si="18"/>
        <v>5892.9470000000001</v>
      </c>
      <c r="O30" s="188">
        <f t="shared" ref="O30:R30" si="19">O10*O27</f>
        <v>4272.7330000000002</v>
      </c>
      <c r="P30" s="188">
        <f t="shared" si="19"/>
        <v>5072.5639999999994</v>
      </c>
      <c r="Q30" s="188">
        <f t="shared" si="19"/>
        <v>5783.5810000000001</v>
      </c>
      <c r="R30" s="188">
        <f t="shared" si="19"/>
        <v>6522.26</v>
      </c>
      <c r="S30" s="32">
        <f>SUM(G30:R30)</f>
        <v>65013.75</v>
      </c>
      <c r="T30" s="32">
        <f>S33-S30</f>
        <v>-173.14485571003024</v>
      </c>
      <c r="U30" s="38"/>
      <c r="V30" s="39"/>
    </row>
    <row r="31" spans="2:22" x14ac:dyDescent="0.25">
      <c r="U31" s="38"/>
      <c r="V31" s="39"/>
    </row>
    <row r="32" spans="2:22" x14ac:dyDescent="0.25">
      <c r="B32" t="s">
        <v>109</v>
      </c>
      <c r="C32" s="32">
        <f t="shared" ref="C32:N32" si="20">SUM(C20,C29)</f>
        <v>1465.1512882149295</v>
      </c>
      <c r="D32" s="32">
        <f t="shared" si="20"/>
        <v>1420.5040552256419</v>
      </c>
      <c r="E32" s="32">
        <f t="shared" si="20"/>
        <v>1656.2618889667979</v>
      </c>
      <c r="F32" s="32">
        <f t="shared" si="20"/>
        <v>1861.1358738571957</v>
      </c>
      <c r="G32" s="32">
        <f t="shared" si="20"/>
        <v>1825.7147293078449</v>
      </c>
      <c r="H32" s="32">
        <f t="shared" si="20"/>
        <v>1675.7947408067841</v>
      </c>
      <c r="I32" s="32">
        <f t="shared" si="20"/>
        <v>1630.9293188955994</v>
      </c>
      <c r="J32" s="32">
        <f t="shared" si="20"/>
        <v>1571.0437301238778</v>
      </c>
      <c r="K32" s="32">
        <f t="shared" si="20"/>
        <v>1551.530993251607</v>
      </c>
      <c r="L32" s="32">
        <f t="shared" si="20"/>
        <v>1693.1085069994024</v>
      </c>
      <c r="M32" s="32">
        <f t="shared" si="20"/>
        <v>1691.3886341438429</v>
      </c>
      <c r="N32" s="32">
        <f t="shared" si="20"/>
        <v>1512.6299200126957</v>
      </c>
      <c r="O32" s="32">
        <f t="shared" ref="O32:R32" si="21">SUM(O20,O29)</f>
        <v>1543.3903454693216</v>
      </c>
      <c r="P32" s="32">
        <f t="shared" si="21"/>
        <v>1317.902667181507</v>
      </c>
      <c r="Q32" s="32">
        <f t="shared" si="21"/>
        <v>1753.5115231550676</v>
      </c>
      <c r="R32" s="32">
        <f t="shared" si="21"/>
        <v>1916.6805425859723</v>
      </c>
      <c r="U32" s="38"/>
      <c r="V32" s="39"/>
    </row>
    <row r="33" spans="2:22" x14ac:dyDescent="0.25">
      <c r="B33" t="s">
        <v>110</v>
      </c>
      <c r="C33" s="32">
        <f t="shared" ref="C33:N33" si="22">SUM(C21,C30)</f>
        <v>4244.0516428256615</v>
      </c>
      <c r="D33" s="32">
        <f t="shared" si="22"/>
        <v>4342.972496028262</v>
      </c>
      <c r="E33" s="32">
        <f t="shared" si="22"/>
        <v>6063.2397333795716</v>
      </c>
      <c r="F33" s="32">
        <f t="shared" si="22"/>
        <v>7129.1883681607915</v>
      </c>
      <c r="G33" s="32">
        <f t="shared" si="22"/>
        <v>7692.5293891361889</v>
      </c>
      <c r="H33" s="32">
        <f t="shared" si="22"/>
        <v>6585.5638060070214</v>
      </c>
      <c r="I33" s="32">
        <f t="shared" si="22"/>
        <v>4449.247152899924</v>
      </c>
      <c r="J33" s="32">
        <f t="shared" si="22"/>
        <v>3637.6442343410449</v>
      </c>
      <c r="K33" s="32">
        <f t="shared" si="22"/>
        <v>4102.7978761166451</v>
      </c>
      <c r="L33" s="32">
        <f t="shared" si="22"/>
        <v>5438.1718039305688</v>
      </c>
      <c r="M33" s="32">
        <f t="shared" si="22"/>
        <v>5714.8496609847816</v>
      </c>
      <c r="N33" s="32">
        <f t="shared" si="22"/>
        <v>5619.2545763949938</v>
      </c>
      <c r="O33" s="32">
        <f t="shared" ref="O33:R33" si="23">SUM(O21,O30)</f>
        <v>4165.8125855712697</v>
      </c>
      <c r="P33" s="32">
        <f t="shared" si="23"/>
        <v>4449.3769039016634</v>
      </c>
      <c r="Q33" s="32">
        <f t="shared" si="23"/>
        <v>5935.4581217792529</v>
      </c>
      <c r="R33" s="32">
        <f t="shared" si="23"/>
        <v>7049.8990332266176</v>
      </c>
      <c r="S33" s="32">
        <f>SUM(G33:R33)</f>
        <v>64840.60514428997</v>
      </c>
      <c r="U33" s="38"/>
      <c r="V33" s="39"/>
    </row>
    <row r="34" spans="2:22" x14ac:dyDescent="0.25">
      <c r="U34" s="38"/>
      <c r="V34" s="39"/>
    </row>
    <row r="35" spans="2:22" x14ac:dyDescent="0.25">
      <c r="B35" t="s">
        <v>111</v>
      </c>
      <c r="C35" s="26">
        <f>'WN Summary'!C54</f>
        <v>3028</v>
      </c>
      <c r="D35" s="26">
        <f>'WN Summary'!D54</f>
        <v>3031</v>
      </c>
      <c r="E35" s="26">
        <f>'WN Summary'!E54</f>
        <v>3034</v>
      </c>
      <c r="F35" s="26">
        <f>'WN Summary'!F54</f>
        <v>3029</v>
      </c>
      <c r="G35" s="26">
        <f>'WN Summary'!G54</f>
        <v>3027</v>
      </c>
      <c r="H35" s="26">
        <f>'WN Summary'!H54</f>
        <v>3028</v>
      </c>
      <c r="I35" s="26">
        <f>'WN Summary'!I54</f>
        <v>3026</v>
      </c>
      <c r="J35" s="26">
        <f>'WN Summary'!J54</f>
        <v>3032</v>
      </c>
      <c r="K35" s="26">
        <f>'WN Summary'!K54</f>
        <v>3030</v>
      </c>
      <c r="L35" s="26">
        <f>'WN Summary'!L54</f>
        <v>3024</v>
      </c>
      <c r="M35" s="26">
        <f>'WN Summary'!M54</f>
        <v>3021</v>
      </c>
      <c r="N35" s="26">
        <f>'WN Summary'!N54</f>
        <v>3020</v>
      </c>
      <c r="O35" s="26">
        <f>'WN Summary'!O54</f>
        <v>3028</v>
      </c>
      <c r="P35" s="26">
        <f>'WN Summary'!P54</f>
        <v>3033</v>
      </c>
      <c r="Q35" s="26">
        <f>'WN Summary'!Q54</f>
        <v>3022</v>
      </c>
      <c r="R35" s="26">
        <f>'WN Summary'!R54</f>
        <v>3021</v>
      </c>
      <c r="U35" s="38"/>
      <c r="V35" s="39"/>
    </row>
    <row r="36" spans="2:22" x14ac:dyDescent="0.25">
      <c r="B36" t="s">
        <v>133</v>
      </c>
      <c r="C36" s="35">
        <f>(SUM(C32:C33)/C35)*1000</f>
        <v>1885.4699243859282</v>
      </c>
      <c r="D36" s="35">
        <f t="shared" ref="D36:N36" si="24">(SUM(D32:D33)/D35)*1000</f>
        <v>1901.5099146334223</v>
      </c>
      <c r="E36" s="35">
        <f t="shared" si="24"/>
        <v>2544.3314510040773</v>
      </c>
      <c r="F36" s="35">
        <f t="shared" si="24"/>
        <v>2968.0832756744758</v>
      </c>
      <c r="G36" s="35">
        <f t="shared" si="24"/>
        <v>3144.4480074146131</v>
      </c>
      <c r="H36" s="35">
        <f t="shared" si="24"/>
        <v>2728.3218450507943</v>
      </c>
      <c r="I36" s="35">
        <f t="shared" si="24"/>
        <v>2009.3114579628298</v>
      </c>
      <c r="J36" s="35">
        <f t="shared" si="24"/>
        <v>1717.9050014725999</v>
      </c>
      <c r="K36" s="35">
        <f t="shared" si="24"/>
        <v>1866.1151384053635</v>
      </c>
      <c r="L36" s="35">
        <f t="shared" si="24"/>
        <v>2358.2276160482711</v>
      </c>
      <c r="M36" s="35">
        <f t="shared" si="24"/>
        <v>2451.585003352739</v>
      </c>
      <c r="N36" s="35">
        <f t="shared" si="24"/>
        <v>2361.5511577508905</v>
      </c>
      <c r="O36" s="188">
        <f t="shared" ref="O36:R36" si="25">(SUM(O32:O33)/O35)*1000</f>
        <v>1885.4699243859286</v>
      </c>
      <c r="P36" s="188">
        <f t="shared" si="25"/>
        <v>1901.5099146334223</v>
      </c>
      <c r="Q36" s="188">
        <f t="shared" si="25"/>
        <v>2544.3314510040768</v>
      </c>
      <c r="R36" s="188">
        <f t="shared" si="25"/>
        <v>2968.0832756744753</v>
      </c>
      <c r="U36" s="38"/>
      <c r="V36" s="39"/>
    </row>
    <row r="37" spans="2:22" x14ac:dyDescent="0.25">
      <c r="U37" s="38"/>
      <c r="V37" s="39"/>
    </row>
    <row r="38" spans="2:22" x14ac:dyDescent="0.25">
      <c r="B38" t="s">
        <v>112</v>
      </c>
      <c r="C38" s="32">
        <f>(C32/C35)*1000</f>
        <v>483.86766453597409</v>
      </c>
      <c r="D38" s="32">
        <f t="shared" ref="D38:N38" si="26">(D32/D35)*1000</f>
        <v>468.6585467587073</v>
      </c>
      <c r="E38" s="32">
        <f t="shared" si="26"/>
        <v>545.90042484073763</v>
      </c>
      <c r="F38" s="32">
        <f t="shared" si="26"/>
        <v>614.43904716315478</v>
      </c>
      <c r="G38" s="32">
        <f t="shared" si="26"/>
        <v>603.14328685425994</v>
      </c>
      <c r="H38" s="32">
        <f t="shared" si="26"/>
        <v>553.43287345006092</v>
      </c>
      <c r="I38" s="32">
        <f t="shared" si="26"/>
        <v>538.97201549755437</v>
      </c>
      <c r="J38" s="32">
        <f t="shared" si="26"/>
        <v>518.15426455273018</v>
      </c>
      <c r="K38" s="32">
        <f t="shared" si="26"/>
        <v>512.05643341637199</v>
      </c>
      <c r="L38" s="32">
        <f t="shared" si="26"/>
        <v>559.89037929874416</v>
      </c>
      <c r="M38" s="32">
        <f t="shared" si="26"/>
        <v>559.87707187813407</v>
      </c>
      <c r="N38" s="32">
        <f t="shared" si="26"/>
        <v>500.87083444129001</v>
      </c>
      <c r="O38" s="32">
        <f t="shared" ref="O38:R38" si="27">(O32/O35)*1000</f>
        <v>509.70619070981559</v>
      </c>
      <c r="P38" s="32">
        <f t="shared" si="27"/>
        <v>434.52115634075403</v>
      </c>
      <c r="Q38" s="32">
        <f t="shared" si="27"/>
        <v>580.24868403542939</v>
      </c>
      <c r="R38" s="32">
        <f t="shared" si="27"/>
        <v>634.4523477609971</v>
      </c>
      <c r="U38" s="38"/>
      <c r="V38" s="39"/>
    </row>
    <row r="39" spans="2:22" x14ac:dyDescent="0.25">
      <c r="B39" t="s">
        <v>113</v>
      </c>
      <c r="C39" s="32">
        <f>(C33/C35)*1000</f>
        <v>1401.6022598499542</v>
      </c>
      <c r="D39" s="32">
        <f t="shared" ref="D39:N39" si="28">(D33/D35)*1000</f>
        <v>1432.8513678747152</v>
      </c>
      <c r="E39" s="32">
        <f t="shared" si="28"/>
        <v>1998.4310261633393</v>
      </c>
      <c r="F39" s="32">
        <f t="shared" si="28"/>
        <v>2353.6442285113212</v>
      </c>
      <c r="G39" s="32">
        <f t="shared" si="28"/>
        <v>2541.304720560353</v>
      </c>
      <c r="H39" s="32">
        <f t="shared" si="28"/>
        <v>2174.8889716007338</v>
      </c>
      <c r="I39" s="32">
        <f t="shared" si="28"/>
        <v>1470.3394424652756</v>
      </c>
      <c r="J39" s="32">
        <f t="shared" si="28"/>
        <v>1199.7507369198697</v>
      </c>
      <c r="K39" s="32">
        <f t="shared" si="28"/>
        <v>1354.0587049889918</v>
      </c>
      <c r="L39" s="32">
        <f t="shared" si="28"/>
        <v>1798.3372367495267</v>
      </c>
      <c r="M39" s="32">
        <f t="shared" si="28"/>
        <v>1891.7079314746049</v>
      </c>
      <c r="N39" s="32">
        <f t="shared" si="28"/>
        <v>1860.6803233096005</v>
      </c>
      <c r="O39" s="32">
        <f t="shared" ref="O39:R39" si="29">(O33/O35)*1000</f>
        <v>1375.7637336761129</v>
      </c>
      <c r="P39" s="32">
        <f t="shared" si="29"/>
        <v>1466.9887582926683</v>
      </c>
      <c r="Q39" s="32">
        <f t="shared" si="29"/>
        <v>1964.0827669686475</v>
      </c>
      <c r="R39" s="32">
        <f t="shared" si="29"/>
        <v>2333.6309279134784</v>
      </c>
      <c r="U39" s="38"/>
      <c r="V39" s="39"/>
    </row>
    <row r="40" spans="2:22" x14ac:dyDescent="0.25">
      <c r="U40" s="38"/>
      <c r="V40" s="39"/>
    </row>
    <row r="41" spans="2:22" x14ac:dyDescent="0.25">
      <c r="B41" t="s">
        <v>74</v>
      </c>
      <c r="G41" s="35">
        <f>(8/31)*G12*1000</f>
        <v>58341.96605007333</v>
      </c>
      <c r="H41" s="35">
        <f>H12*1000</f>
        <v>-327336.45318619348</v>
      </c>
      <c r="I41" s="35">
        <f t="shared" ref="I41:N41" si="30">I12*1000</f>
        <v>-65736.528204476606</v>
      </c>
      <c r="J41" s="35">
        <f t="shared" si="30"/>
        <v>74818.964464922828</v>
      </c>
      <c r="K41" s="35">
        <f t="shared" si="30"/>
        <v>13024.869368252439</v>
      </c>
      <c r="L41" s="35">
        <f t="shared" si="30"/>
        <v>190362.31092997151</v>
      </c>
      <c r="M41" s="35">
        <f t="shared" si="30"/>
        <v>148921.29512862448</v>
      </c>
      <c r="N41" s="35">
        <f t="shared" si="30"/>
        <v>-416464.50359231042</v>
      </c>
      <c r="O41" s="188">
        <f t="shared" ref="O41:R41" si="31">O12*1000</f>
        <v>-173077.0689594092</v>
      </c>
      <c r="P41" s="188">
        <f t="shared" si="31"/>
        <v>-958821.42891682906</v>
      </c>
      <c r="Q41" s="188">
        <f t="shared" si="31"/>
        <v>210769.64493432024</v>
      </c>
      <c r="R41" s="188">
        <f t="shared" si="31"/>
        <v>727292.57581258938</v>
      </c>
      <c r="U41" s="38">
        <f>SUM(K41:N41)</f>
        <v>-64156.028165462019</v>
      </c>
      <c r="V41" s="181">
        <f t="shared" ref="V41" si="32">SUM(H41:K41,P41:S41)</f>
        <v>-325988.35572741413</v>
      </c>
    </row>
    <row r="42" spans="2:22" x14ac:dyDescent="0.25">
      <c r="U42" s="38"/>
      <c r="V42" s="39"/>
    </row>
    <row r="43" spans="2:22" x14ac:dyDescent="0.25">
      <c r="B43" t="s">
        <v>137</v>
      </c>
      <c r="G43" s="32">
        <f>(8/31)*G36</f>
        <v>811.47045352635178</v>
      </c>
      <c r="H43" s="32">
        <f>H36</f>
        <v>2728.3218450507943</v>
      </c>
      <c r="I43" s="32">
        <f t="shared" ref="I43:N43" si="33">I36</f>
        <v>2009.3114579628298</v>
      </c>
      <c r="J43" s="32">
        <f t="shared" si="33"/>
        <v>1717.9050014725999</v>
      </c>
      <c r="K43" s="32">
        <f t="shared" si="33"/>
        <v>1866.1151384053635</v>
      </c>
      <c r="L43" s="32">
        <f t="shared" si="33"/>
        <v>2358.2276160482711</v>
      </c>
      <c r="M43" s="32">
        <f t="shared" si="33"/>
        <v>2451.585003352739</v>
      </c>
      <c r="N43" s="32">
        <f t="shared" si="33"/>
        <v>2361.5511577508905</v>
      </c>
      <c r="O43" s="32">
        <f t="shared" ref="O43:R43" si="34">O36</f>
        <v>1885.4699243859286</v>
      </c>
      <c r="P43" s="32">
        <f t="shared" si="34"/>
        <v>1901.5099146334223</v>
      </c>
      <c r="Q43" s="32">
        <f t="shared" si="34"/>
        <v>2544.3314510040768</v>
      </c>
      <c r="R43" s="32">
        <f t="shared" si="34"/>
        <v>2968.0832756744753</v>
      </c>
      <c r="U43" s="38">
        <f>SUM(K43:N43)</f>
        <v>9037.4789155572653</v>
      </c>
      <c r="V43" s="181">
        <f t="shared" ref="V43" si="35">SUM(H43:K43,P43:S43)</f>
        <v>15735.57808420356</v>
      </c>
    </row>
    <row r="47" spans="2:22" x14ac:dyDescent="0.25">
      <c r="B47" s="230" t="s">
        <v>188</v>
      </c>
    </row>
    <row r="48" spans="2:22" x14ac:dyDescent="0.25">
      <c r="B48" s="230"/>
    </row>
  </sheetData>
  <mergeCells count="1">
    <mergeCell ref="B47:B48"/>
  </mergeCells>
  <pageMargins left="0.7" right="0.7" top="0.75" bottom="0.75" header="0.3" footer="0.3"/>
  <pageSetup scale="65" fitToWidth="2" orientation="landscape" r:id="rId1"/>
  <headerFooter differentFirst="1">
    <oddFooter>&amp;CPage &amp;P of &amp;N</oddFooter>
    <firstFooter>&amp;CPage &amp;P of &amp;N</firstFooter>
  </headerFooter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opLeftCell="A22" zoomScale="80" zoomScaleNormal="80" workbookViewId="0">
      <selection activeCell="U54" sqref="U54"/>
    </sheetView>
  </sheetViews>
  <sheetFormatPr defaultRowHeight="15" x14ac:dyDescent="0.25"/>
  <cols>
    <col min="2" max="2" width="38.28515625" customWidth="1"/>
    <col min="3" max="14" width="14.7109375" customWidth="1"/>
    <col min="15" max="18" width="14.7109375" style="187" customWidth="1"/>
    <col min="20" max="21" width="12" bestFit="1" customWidth="1"/>
    <col min="22" max="22" width="10" customWidth="1"/>
    <col min="23" max="23" width="9.140625" customWidth="1"/>
  </cols>
  <sheetData>
    <row r="1" spans="1:21" x14ac:dyDescent="0.25">
      <c r="A1" s="42"/>
    </row>
    <row r="2" spans="1:21" x14ac:dyDescent="0.25">
      <c r="A2" s="42"/>
    </row>
    <row r="3" spans="1:21" x14ac:dyDescent="0.25">
      <c r="A3" s="42"/>
    </row>
    <row r="4" spans="1:21" x14ac:dyDescent="0.25">
      <c r="A4" s="61" t="s">
        <v>141</v>
      </c>
    </row>
    <row r="5" spans="1:21" x14ac:dyDescent="0.25">
      <c r="A5" s="61" t="s">
        <v>142</v>
      </c>
    </row>
    <row r="6" spans="1:21" x14ac:dyDescent="0.25">
      <c r="A6" s="61" t="s">
        <v>143</v>
      </c>
    </row>
    <row r="7" spans="1:21" x14ac:dyDescent="0.25">
      <c r="A7" s="61" t="s">
        <v>185</v>
      </c>
    </row>
    <row r="8" spans="1:21" x14ac:dyDescent="0.25">
      <c r="C8" s="27">
        <v>43374</v>
      </c>
      <c r="D8" s="27">
        <v>43405</v>
      </c>
      <c r="E8" s="28">
        <v>43435</v>
      </c>
      <c r="F8" s="28">
        <v>43466</v>
      </c>
      <c r="G8" s="28">
        <v>43497</v>
      </c>
      <c r="H8" s="28">
        <v>43525</v>
      </c>
      <c r="I8" s="27">
        <v>43556</v>
      </c>
      <c r="J8" s="27">
        <v>43586</v>
      </c>
      <c r="K8" s="27">
        <v>43617</v>
      </c>
      <c r="L8" s="27">
        <v>43647</v>
      </c>
      <c r="M8" s="27">
        <v>43678</v>
      </c>
      <c r="N8" s="27">
        <v>43709</v>
      </c>
      <c r="O8" s="27">
        <v>43739</v>
      </c>
      <c r="P8" s="27">
        <v>43770</v>
      </c>
      <c r="Q8" s="27">
        <v>43800</v>
      </c>
      <c r="R8" s="27">
        <v>43831</v>
      </c>
    </row>
    <row r="9" spans="1:21" x14ac:dyDescent="0.25">
      <c r="C9" s="29" t="s">
        <v>90</v>
      </c>
      <c r="D9" s="29" t="s">
        <v>91</v>
      </c>
      <c r="E9" s="30" t="s">
        <v>92</v>
      </c>
      <c r="F9" s="30" t="s">
        <v>93</v>
      </c>
      <c r="G9" s="30" t="s">
        <v>94</v>
      </c>
      <c r="H9" s="30" t="s">
        <v>95</v>
      </c>
      <c r="I9" s="29" t="s">
        <v>96</v>
      </c>
      <c r="J9" s="29" t="s">
        <v>97</v>
      </c>
      <c r="K9" s="29" t="s">
        <v>98</v>
      </c>
      <c r="L9" s="29" t="s">
        <v>99</v>
      </c>
      <c r="M9" s="29" t="s">
        <v>100</v>
      </c>
      <c r="N9" s="29" t="s">
        <v>101</v>
      </c>
      <c r="O9" s="29" t="s">
        <v>218</v>
      </c>
      <c r="P9" s="29" t="s">
        <v>219</v>
      </c>
      <c r="Q9" s="29" t="s">
        <v>220</v>
      </c>
      <c r="R9" s="29" t="s">
        <v>221</v>
      </c>
      <c r="T9" s="36" t="s">
        <v>66</v>
      </c>
      <c r="U9" s="31" t="s">
        <v>67</v>
      </c>
    </row>
    <row r="10" spans="1:21" x14ac:dyDescent="0.25">
      <c r="A10" t="s">
        <v>53</v>
      </c>
      <c r="B10" s="26" t="s">
        <v>21</v>
      </c>
      <c r="C10" s="26">
        <f>'WN Summary'!C39</f>
        <v>76437.673999999999</v>
      </c>
      <c r="D10" s="26">
        <f>'WN Summary'!D39</f>
        <v>65902.051999999996</v>
      </c>
      <c r="E10" s="26">
        <f>'WN Summary'!E39</f>
        <v>64948.993000000002</v>
      </c>
      <c r="F10" s="26">
        <f>'WN Summary'!F39</f>
        <v>64548.180999999997</v>
      </c>
      <c r="G10" s="26">
        <f>'WN Summary'!G39</f>
        <v>65609.592000000004</v>
      </c>
      <c r="H10" s="26">
        <f>'WN Summary'!H39</f>
        <v>65239.671000000002</v>
      </c>
      <c r="I10" s="26">
        <f>'WN Summary'!I39</f>
        <v>62834.33</v>
      </c>
      <c r="J10" s="26">
        <f>'WN Summary'!J39</f>
        <v>65325.716</v>
      </c>
      <c r="K10" s="26">
        <f>'WN Summary'!K39</f>
        <v>69181.366999999998</v>
      </c>
      <c r="L10" s="26">
        <f>'WN Summary'!L39</f>
        <v>78774.188999999998</v>
      </c>
      <c r="M10" s="26">
        <f>'WN Summary'!M39</f>
        <v>82276.729000000007</v>
      </c>
      <c r="N10" s="26">
        <f>'WN Summary'!N39</f>
        <v>87721.823999999993</v>
      </c>
      <c r="O10" s="26">
        <f>'WN Summary'!O39</f>
        <v>64605.928</v>
      </c>
      <c r="P10" s="26">
        <f>'WN Summary'!P39</f>
        <v>64978.550999999999</v>
      </c>
      <c r="Q10" s="26">
        <f>'WN Summary'!Q39</f>
        <v>65173.892999999996</v>
      </c>
      <c r="R10" s="26">
        <f>'WN Summary'!R39</f>
        <v>67186.044999999998</v>
      </c>
      <c r="T10" s="36"/>
      <c r="U10" s="31"/>
    </row>
    <row r="11" spans="1:21" x14ac:dyDescent="0.25">
      <c r="A11" t="s">
        <v>53</v>
      </c>
      <c r="B11" s="26" t="s">
        <v>22</v>
      </c>
      <c r="C11" s="33">
        <f>'WN Summary'!C40</f>
        <v>72587.74170221125</v>
      </c>
      <c r="D11" s="33">
        <f>'WN Summary'!D40</f>
        <v>65049.059715595846</v>
      </c>
      <c r="E11" s="33">
        <f>'WN Summary'!E40</f>
        <v>64729.221981057803</v>
      </c>
      <c r="F11" s="33">
        <f>'WN Summary'!F40</f>
        <v>64957.096657211652</v>
      </c>
      <c r="G11" s="33">
        <f>'WN Summary'!G40</f>
        <v>65869.731469465318</v>
      </c>
      <c r="H11" s="33">
        <f>'WN Summary'!H40</f>
        <v>64876.100350624947</v>
      </c>
      <c r="I11" s="33">
        <f>'WN Summary'!I40</f>
        <v>62769.268995996943</v>
      </c>
      <c r="J11" s="33">
        <f>'WN Summary'!J40</f>
        <v>64874.953967629852</v>
      </c>
      <c r="K11" s="33">
        <f>'WN Summary'!K40</f>
        <v>68869.863846261607</v>
      </c>
      <c r="L11" s="33">
        <f>'WN Summary'!L40</f>
        <v>79980.127061289124</v>
      </c>
      <c r="M11" s="33">
        <f>'WN Summary'!M40</f>
        <v>83100.138507157142</v>
      </c>
      <c r="N11" s="33">
        <f>'WN Summary'!N40</f>
        <v>84039.570285888825</v>
      </c>
      <c r="O11" s="33">
        <f>'WN Summary'!O40</f>
        <v>72995.76723173463</v>
      </c>
      <c r="P11" s="33">
        <f>'WN Summary'!P40</f>
        <v>65340.596117682551</v>
      </c>
      <c r="Q11" s="33">
        <f>'WN Summary'!Q40</f>
        <v>65346.728588060039</v>
      </c>
      <c r="R11" s="33">
        <f>'WN Summary'!R40</f>
        <v>65394.76378797333</v>
      </c>
      <c r="T11" s="36"/>
      <c r="U11" s="31"/>
    </row>
    <row r="12" spans="1:21" x14ac:dyDescent="0.25">
      <c r="B12" s="26"/>
      <c r="C12" s="26">
        <f>C11-C10</f>
        <v>-3849.9322977887496</v>
      </c>
      <c r="D12" s="26">
        <f t="shared" ref="D12:N12" si="0">D11-D10</f>
        <v>-852.99228440415027</v>
      </c>
      <c r="E12" s="26">
        <f t="shared" si="0"/>
        <v>-219.77101894219959</v>
      </c>
      <c r="F12" s="26">
        <f t="shared" si="0"/>
        <v>408.91565721165534</v>
      </c>
      <c r="G12" s="26">
        <f t="shared" si="0"/>
        <v>260.1394694653136</v>
      </c>
      <c r="H12" s="26">
        <f t="shared" si="0"/>
        <v>-363.57064937505493</v>
      </c>
      <c r="I12" s="26">
        <f t="shared" si="0"/>
        <v>-65.06100400305877</v>
      </c>
      <c r="J12" s="26">
        <f t="shared" si="0"/>
        <v>-450.76203237014852</v>
      </c>
      <c r="K12" s="26">
        <f t="shared" si="0"/>
        <v>-311.50315373839112</v>
      </c>
      <c r="L12" s="26">
        <f t="shared" si="0"/>
        <v>1205.9380612891255</v>
      </c>
      <c r="M12" s="26">
        <f t="shared" si="0"/>
        <v>823.40950715713552</v>
      </c>
      <c r="N12" s="26">
        <f t="shared" si="0"/>
        <v>-3682.2537141111679</v>
      </c>
      <c r="O12" s="26">
        <f t="shared" ref="O12:R12" si="1">O11-O10</f>
        <v>8389.8392317346297</v>
      </c>
      <c r="P12" s="26">
        <f t="shared" si="1"/>
        <v>362.04511768255179</v>
      </c>
      <c r="Q12" s="26">
        <f t="shared" si="1"/>
        <v>172.83558806004294</v>
      </c>
      <c r="R12" s="26">
        <f t="shared" si="1"/>
        <v>-1791.2812120266681</v>
      </c>
      <c r="T12" s="36"/>
      <c r="U12" s="31"/>
    </row>
    <row r="13" spans="1:21" x14ac:dyDescent="0.25"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T13" s="36"/>
      <c r="U13" s="31"/>
    </row>
    <row r="14" spans="1:21" x14ac:dyDescent="0.25">
      <c r="B14" t="s">
        <v>115</v>
      </c>
      <c r="C14" s="160">
        <f>(C11-C10)/C10</f>
        <v>-5.0366947296025123E-2</v>
      </c>
      <c r="D14" s="160">
        <f t="shared" ref="D14:N14" si="2">(D11-D10)/D10</f>
        <v>-1.2943334213692622E-2</v>
      </c>
      <c r="E14" s="160">
        <f t="shared" si="2"/>
        <v>-3.383747904177661E-3</v>
      </c>
      <c r="F14" s="160">
        <f t="shared" si="2"/>
        <v>6.335045401382502E-3</v>
      </c>
      <c r="G14" s="160">
        <f t="shared" si="2"/>
        <v>3.9649609384145171E-3</v>
      </c>
      <c r="H14" s="160">
        <f t="shared" si="2"/>
        <v>-5.5728461502366393E-3</v>
      </c>
      <c r="I14" s="160">
        <f t="shared" si="2"/>
        <v>-1.0354372204344148E-3</v>
      </c>
      <c r="J14" s="160">
        <f t="shared" si="2"/>
        <v>-6.9002233725252785E-3</v>
      </c>
      <c r="K14" s="160">
        <f t="shared" si="2"/>
        <v>-4.5027030723227991E-3</v>
      </c>
      <c r="L14" s="160">
        <f t="shared" si="2"/>
        <v>1.5308796911753995E-2</v>
      </c>
      <c r="M14" s="160">
        <f t="shared" si="2"/>
        <v>1.0007805574734692E-2</v>
      </c>
      <c r="N14" s="160">
        <f t="shared" si="2"/>
        <v>-4.1976483686786636E-2</v>
      </c>
      <c r="O14" s="160">
        <f t="shared" ref="O14:R14" si="3">(O11-O10)/O10</f>
        <v>0.12986175559206625</v>
      </c>
      <c r="P14" s="160">
        <f t="shared" si="3"/>
        <v>5.5717634836540417E-3</v>
      </c>
      <c r="Q14" s="160">
        <f t="shared" si="3"/>
        <v>2.651914441570077E-3</v>
      </c>
      <c r="R14" s="160">
        <f t="shared" si="3"/>
        <v>-2.6661507044009929E-2</v>
      </c>
      <c r="T14" s="36"/>
      <c r="U14" s="31"/>
    </row>
    <row r="15" spans="1:21" x14ac:dyDescent="0.25">
      <c r="T15" s="36"/>
      <c r="U15" s="31"/>
    </row>
    <row r="16" spans="1:21" x14ac:dyDescent="0.25">
      <c r="B16" t="s">
        <v>116</v>
      </c>
      <c r="C16" s="35">
        <f>'kWh Combined'!G25</f>
        <v>207247.48200000002</v>
      </c>
      <c r="D16" s="35">
        <f>'kWh Combined'!H25</f>
        <v>212536.71400000001</v>
      </c>
      <c r="E16" s="35">
        <f>'kWh Combined'!I25</f>
        <v>195465.753</v>
      </c>
      <c r="F16" s="35">
        <f>'kWh Combined'!J25</f>
        <v>197126.49</v>
      </c>
      <c r="G16" s="35">
        <f>'kWh Combined'!K25</f>
        <v>193768.58600000001</v>
      </c>
      <c r="H16" s="35">
        <f>'kWh Combined'!L25</f>
        <v>200308.916</v>
      </c>
      <c r="I16" s="35">
        <f>'kWh Combined'!M25</f>
        <v>200020.22899999999</v>
      </c>
      <c r="J16" s="35">
        <f>'kWh Combined'!N25</f>
        <v>205837.11200000002</v>
      </c>
      <c r="K16" s="35">
        <f>'kWh Combined'!O25</f>
        <v>220322.236</v>
      </c>
      <c r="L16" s="35">
        <f>'kWh Combined'!P25</f>
        <v>219208.63299999997</v>
      </c>
      <c r="M16" s="35">
        <f>'kWh Combined'!Q25</f>
        <v>231920.96</v>
      </c>
      <c r="N16" s="35">
        <f>'kWh Combined'!R25</f>
        <v>235947.6999999999</v>
      </c>
      <c r="O16" s="188">
        <f>'kWh Combined'!S25</f>
        <v>223621</v>
      </c>
      <c r="P16" s="188">
        <f>'kWh Combined'!T25</f>
        <v>203972.49699999997</v>
      </c>
      <c r="Q16" s="188">
        <f>'kWh Combined'!U25</f>
        <v>193537.33100000001</v>
      </c>
      <c r="R16" s="188">
        <f>'kWh Combined'!V25</f>
        <v>190164.17799999999</v>
      </c>
      <c r="T16" s="36"/>
      <c r="U16" s="31"/>
    </row>
    <row r="17" spans="2:22" x14ac:dyDescent="0.25">
      <c r="B17" t="s">
        <v>117</v>
      </c>
      <c r="C17" s="35">
        <f>SUM('kWh Combined'!G26:G28)</f>
        <v>76437674</v>
      </c>
      <c r="D17" s="35">
        <f>SUM('kWh Combined'!H26:H28)</f>
        <v>65902051.999999993</v>
      </c>
      <c r="E17" s="35">
        <f>SUM('kWh Combined'!I26:I28)</f>
        <v>64948993</v>
      </c>
      <c r="F17" s="35">
        <f>SUM('kWh Combined'!J26:J28)</f>
        <v>64548181</v>
      </c>
      <c r="G17" s="35">
        <f>SUM('kWh Combined'!K26:K28)</f>
        <v>65609592.000000007</v>
      </c>
      <c r="H17" s="35">
        <f>SUM('kWh Combined'!L26:L28)</f>
        <v>65239671</v>
      </c>
      <c r="I17" s="35">
        <f>SUM('kWh Combined'!M26:M28)</f>
        <v>62834330</v>
      </c>
      <c r="J17" s="35">
        <f>SUM('kWh Combined'!N26:N28)</f>
        <v>65325716</v>
      </c>
      <c r="K17" s="35">
        <f>SUM('kWh Combined'!O26:O28)</f>
        <v>69181367</v>
      </c>
      <c r="L17" s="35">
        <f>SUM('kWh Combined'!P26:P28)</f>
        <v>78774189</v>
      </c>
      <c r="M17" s="35">
        <f>SUM('kWh Combined'!Q26:Q28)</f>
        <v>82276729</v>
      </c>
      <c r="N17" s="35">
        <f>SUM('kWh Combined'!R26:R28)</f>
        <v>87721824</v>
      </c>
      <c r="O17" s="188">
        <f>SUM('kWh Combined'!S26:S28)</f>
        <v>64605928</v>
      </c>
      <c r="P17" s="188">
        <f>SUM('kWh Combined'!T26:T28)</f>
        <v>64978551</v>
      </c>
      <c r="Q17" s="188">
        <f>SUM('kWh Combined'!U26:U28)</f>
        <v>65173893</v>
      </c>
      <c r="R17" s="188">
        <f>SUM('kWh Combined'!V26:V28)</f>
        <v>67186045</v>
      </c>
      <c r="T17" s="36"/>
      <c r="U17" s="31"/>
    </row>
    <row r="18" spans="2:22" x14ac:dyDescent="0.25">
      <c r="T18" s="36"/>
      <c r="U18" s="31"/>
    </row>
    <row r="19" spans="2:22" x14ac:dyDescent="0.25">
      <c r="B19" t="s">
        <v>118</v>
      </c>
      <c r="C19" s="35">
        <f>C17/C16</f>
        <v>368.8231734463244</v>
      </c>
      <c r="D19" s="35">
        <f t="shared" ref="D19:N19" si="4">D17/D16</f>
        <v>310.07373154362398</v>
      </c>
      <c r="E19" s="35">
        <f t="shared" si="4"/>
        <v>332.27812035185519</v>
      </c>
      <c r="F19" s="35">
        <f t="shared" si="4"/>
        <v>327.44549451471488</v>
      </c>
      <c r="G19" s="35">
        <f t="shared" si="4"/>
        <v>338.59767134802752</v>
      </c>
      <c r="H19" s="35">
        <f t="shared" si="4"/>
        <v>325.69529256500994</v>
      </c>
      <c r="I19" s="35">
        <f t="shared" si="4"/>
        <v>314.13987632220937</v>
      </c>
      <c r="J19" s="35">
        <f t="shared" si="4"/>
        <v>317.36607342217275</v>
      </c>
      <c r="K19" s="35">
        <f t="shared" si="4"/>
        <v>314.00083920716924</v>
      </c>
      <c r="L19" s="35">
        <f t="shared" si="4"/>
        <v>359.35714721600408</v>
      </c>
      <c r="M19" s="35">
        <f t="shared" si="4"/>
        <v>354.76193699784619</v>
      </c>
      <c r="N19" s="35">
        <f t="shared" si="4"/>
        <v>371.78503541250893</v>
      </c>
      <c r="O19" s="188">
        <f t="shared" ref="O19:R19" si="5">O17/O16</f>
        <v>288.90814368954614</v>
      </c>
      <c r="P19" s="188">
        <f t="shared" si="5"/>
        <v>318.56525735427954</v>
      </c>
      <c r="Q19" s="188">
        <f t="shared" si="5"/>
        <v>336.75101678445697</v>
      </c>
      <c r="R19" s="188">
        <f t="shared" si="5"/>
        <v>353.30547375752337</v>
      </c>
      <c r="T19" s="36"/>
      <c r="U19" s="31"/>
    </row>
    <row r="20" spans="2:22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188"/>
      <c r="P20" s="188"/>
      <c r="Q20" s="188"/>
      <c r="R20" s="188"/>
      <c r="T20" s="36"/>
      <c r="U20" s="31"/>
    </row>
    <row r="21" spans="2:22" x14ac:dyDescent="0.25">
      <c r="B21" t="s">
        <v>119</v>
      </c>
      <c r="C21" s="35">
        <f>(C10/C19)*1000</f>
        <v>207247.48200000002</v>
      </c>
      <c r="D21" s="35">
        <f t="shared" ref="D21:N21" si="6">(D10/D19)*1000</f>
        <v>212536.71400000001</v>
      </c>
      <c r="E21" s="35">
        <f t="shared" si="6"/>
        <v>195465.753</v>
      </c>
      <c r="F21" s="35">
        <f t="shared" si="6"/>
        <v>197126.49</v>
      </c>
      <c r="G21" s="35">
        <f t="shared" si="6"/>
        <v>193768.58600000001</v>
      </c>
      <c r="H21" s="35">
        <f t="shared" si="6"/>
        <v>200308.916</v>
      </c>
      <c r="I21" s="35">
        <f t="shared" si="6"/>
        <v>200020.22900000002</v>
      </c>
      <c r="J21" s="35">
        <f t="shared" si="6"/>
        <v>205837.11200000002</v>
      </c>
      <c r="K21" s="35">
        <f t="shared" si="6"/>
        <v>220322.236</v>
      </c>
      <c r="L21" s="35">
        <f t="shared" si="6"/>
        <v>219208.63299999997</v>
      </c>
      <c r="M21" s="35">
        <f t="shared" si="6"/>
        <v>231920.96000000002</v>
      </c>
      <c r="N21" s="35">
        <f t="shared" si="6"/>
        <v>235947.6999999999</v>
      </c>
      <c r="O21" s="188">
        <f t="shared" ref="O21:R21" si="7">(O10/O19)*1000</f>
        <v>223621</v>
      </c>
      <c r="P21" s="188">
        <f t="shared" si="7"/>
        <v>203972.49699999997</v>
      </c>
      <c r="Q21" s="188">
        <f t="shared" si="7"/>
        <v>193537.33099999998</v>
      </c>
      <c r="R21" s="188">
        <f t="shared" si="7"/>
        <v>190164.17799999999</v>
      </c>
      <c r="T21" s="36"/>
      <c r="U21" s="31"/>
    </row>
    <row r="22" spans="2:22" x14ac:dyDescent="0.25">
      <c r="T22" s="36"/>
      <c r="U22" s="31"/>
    </row>
    <row r="23" spans="2:22" x14ac:dyDescent="0.25">
      <c r="C23">
        <f>'kWh Combined'!G26/GP!C17</f>
        <v>0.38688953303314805</v>
      </c>
      <c r="D23">
        <f>'kWh Combined'!H26/GP!D17</f>
        <v>0.45956477956103708</v>
      </c>
      <c r="E23">
        <f>'kWh Combined'!I26/GP!E17</f>
        <v>0.43157886989872191</v>
      </c>
      <c r="F23">
        <f>'kWh Combined'!J26/GP!F17</f>
        <v>0.43933456467193088</v>
      </c>
      <c r="G23">
        <f>'kWh Combined'!K26/GP!G17</f>
        <v>0.42371203893479475</v>
      </c>
      <c r="H23">
        <f>'kWh Combined'!L26/GP!H17</f>
        <v>0.43448047124578543</v>
      </c>
      <c r="I23">
        <f>'kWh Combined'!M26/GP!I17</f>
        <v>0.46015237211887194</v>
      </c>
      <c r="J23">
        <f>'kWh Combined'!N26/GP!J17</f>
        <v>0.44927571861592763</v>
      </c>
      <c r="K23">
        <f>'kWh Combined'!O26/GP!K17</f>
        <v>0.44458606896275987</v>
      </c>
      <c r="L23">
        <f>'kWh Combined'!P26/GP!L17</f>
        <v>0.40884257151793718</v>
      </c>
      <c r="M23">
        <f>'kWh Combined'!Q26/GP!M17</f>
        <v>0.40943479899401447</v>
      </c>
      <c r="N23">
        <f>'kWh Combined'!R26/GP!N17</f>
        <v>0.38776201233572161</v>
      </c>
      <c r="O23" s="187">
        <f>'kWh Combined'!S26/GP!O17</f>
        <v>0.49577041908600089</v>
      </c>
      <c r="P23" s="187">
        <f>'kWh Combined'!T26/GP!P17</f>
        <v>0.44624354581252512</v>
      </c>
      <c r="Q23" s="187">
        <f>'kWh Combined'!U26/GP!Q17</f>
        <v>0.42159948923106372</v>
      </c>
      <c r="R23" s="187">
        <f>'kWh Combined'!V26/GP!R17</f>
        <v>0.40531093919875771</v>
      </c>
      <c r="T23" s="36"/>
      <c r="U23" s="31"/>
    </row>
    <row r="24" spans="2:22" x14ac:dyDescent="0.25">
      <c r="C24">
        <f>'kWh Combined'!G27/GP!C17</f>
        <v>0.36652275682800078</v>
      </c>
      <c r="D24">
        <f>'kWh Combined'!H27/GP!D17</f>
        <v>0.41599505884885046</v>
      </c>
      <c r="E24">
        <f>'kWh Combined'!I27/GP!E17</f>
        <v>0.40773980899134188</v>
      </c>
      <c r="F24">
        <f>'kWh Combined'!J27/GP!F17</f>
        <v>0.41901049078362101</v>
      </c>
      <c r="G24">
        <f>'kWh Combined'!K27/GP!G17</f>
        <v>0.41815968006629267</v>
      </c>
      <c r="H24">
        <f>'kWh Combined'!L27/GP!H17</f>
        <v>0.42285456957623224</v>
      </c>
      <c r="I24">
        <f>'kWh Combined'!M27/GP!I17</f>
        <v>0.4101523482465716</v>
      </c>
      <c r="J24">
        <f>'kWh Combined'!N27/GP!J17</f>
        <v>0.41363972191288345</v>
      </c>
      <c r="K24">
        <f>'kWh Combined'!O27/GP!K17</f>
        <v>0.414333761285752</v>
      </c>
      <c r="L24">
        <f>'kWh Combined'!P27/GP!L17</f>
        <v>0.41437335521156554</v>
      </c>
      <c r="M24">
        <f>'kWh Combined'!Q27/GP!M17</f>
        <v>0.40255087194825162</v>
      </c>
      <c r="N24">
        <f>'kWh Combined'!R27/GP!N17</f>
        <v>0.38837223676516347</v>
      </c>
      <c r="O24" s="187">
        <f>'kWh Combined'!S27/GP!O17</f>
        <v>0.45713932009458946</v>
      </c>
      <c r="P24" s="187">
        <f>'kWh Combined'!T27/GP!P17</f>
        <v>0.40441686672883798</v>
      </c>
      <c r="Q24" s="187">
        <f>'kWh Combined'!U27/GP!Q17</f>
        <v>0.4084213137306375</v>
      </c>
      <c r="R24" s="187">
        <f>'kWh Combined'!V27/GP!R17</f>
        <v>0.39988177604441516</v>
      </c>
      <c r="T24" s="36"/>
      <c r="U24" s="31"/>
    </row>
    <row r="25" spans="2:22" x14ac:dyDescent="0.25">
      <c r="C25">
        <f>'kWh Combined'!G28/GP!C17</f>
        <v>0.24658771013885117</v>
      </c>
      <c r="D25">
        <f>'kWh Combined'!H28/GP!D17</f>
        <v>0.12444016159011245</v>
      </c>
      <c r="E25">
        <f>'kWh Combined'!I28/GP!E17</f>
        <v>0.16068132110993621</v>
      </c>
      <c r="F25">
        <f>'kWh Combined'!J28/GP!F17</f>
        <v>0.14165494454444813</v>
      </c>
      <c r="G25">
        <f>'kWh Combined'!K28/GP!G17</f>
        <v>0.15812828099891257</v>
      </c>
      <c r="H25">
        <f>'kWh Combined'!L28/GP!H17</f>
        <v>0.14266495917798236</v>
      </c>
      <c r="I25">
        <f>'kWh Combined'!M28/GP!I17</f>
        <v>0.12969527963455646</v>
      </c>
      <c r="J25">
        <f>'kWh Combined'!N28/GP!J17</f>
        <v>0.13708455947118894</v>
      </c>
      <c r="K25">
        <f>'kWh Combined'!O28/GP!K17</f>
        <v>0.14108016975148815</v>
      </c>
      <c r="L25">
        <f>'kWh Combined'!P28/GP!L17</f>
        <v>0.17678407327049728</v>
      </c>
      <c r="M25">
        <f>'kWh Combined'!Q28/GP!M17</f>
        <v>0.18801432905773394</v>
      </c>
      <c r="N25">
        <f>'kWh Combined'!R28/GP!N17</f>
        <v>0.22386575089911492</v>
      </c>
      <c r="O25" s="187">
        <f>'kWh Combined'!S28/GP!O17</f>
        <v>4.7090260819409639E-2</v>
      </c>
      <c r="P25" s="187">
        <f>'kWh Combined'!T28/GP!P17</f>
        <v>0.14933958745863693</v>
      </c>
      <c r="Q25" s="187">
        <f>'kWh Combined'!U28/GP!Q17</f>
        <v>0.16997919703829875</v>
      </c>
      <c r="R25" s="187">
        <f>'kWh Combined'!V28/GP!R17</f>
        <v>0.1948072847568271</v>
      </c>
      <c r="T25" s="36"/>
      <c r="U25" s="31"/>
    </row>
    <row r="26" spans="2:22" x14ac:dyDescent="0.25">
      <c r="T26" s="36"/>
      <c r="U26" s="31"/>
    </row>
    <row r="27" spans="2:22" x14ac:dyDescent="0.25">
      <c r="B27" t="s">
        <v>120</v>
      </c>
      <c r="C27" s="35">
        <f>C23*C$10*1000</f>
        <v>29572936</v>
      </c>
      <c r="D27" s="35">
        <f t="shared" ref="D27:N27" si="8">D23*D$10*1000</f>
        <v>30286262.000000004</v>
      </c>
      <c r="E27" s="35">
        <f t="shared" si="8"/>
        <v>28030613</v>
      </c>
      <c r="F27" s="35">
        <f t="shared" si="8"/>
        <v>28358247</v>
      </c>
      <c r="G27" s="35">
        <f t="shared" si="8"/>
        <v>27799574</v>
      </c>
      <c r="H27" s="35">
        <f t="shared" si="8"/>
        <v>28345363</v>
      </c>
      <c r="I27" s="35">
        <f t="shared" si="8"/>
        <v>28913366</v>
      </c>
      <c r="J27" s="35">
        <f t="shared" si="8"/>
        <v>29349258</v>
      </c>
      <c r="K27" s="35">
        <f t="shared" si="8"/>
        <v>30757072</v>
      </c>
      <c r="L27" s="35">
        <f t="shared" si="8"/>
        <v>32206242</v>
      </c>
      <c r="M27" s="35">
        <f t="shared" si="8"/>
        <v>33686956.000000007</v>
      </c>
      <c r="N27" s="35">
        <f t="shared" si="8"/>
        <v>34015191</v>
      </c>
      <c r="O27" s="188">
        <f t="shared" ref="O27:R27" si="9">O23*O$10*1000</f>
        <v>32029708</v>
      </c>
      <c r="P27" s="188">
        <f t="shared" si="9"/>
        <v>28996259</v>
      </c>
      <c r="Q27" s="188">
        <f t="shared" si="9"/>
        <v>27477280</v>
      </c>
      <c r="R27" s="188">
        <f t="shared" si="9"/>
        <v>27231238.999999996</v>
      </c>
      <c r="T27" s="36"/>
      <c r="U27" s="31"/>
    </row>
    <row r="28" spans="2:22" x14ac:dyDescent="0.25">
      <c r="B28" t="s">
        <v>121</v>
      </c>
      <c r="C28" s="35">
        <f t="shared" ref="C28:N29" si="10">C24*C$10*1000</f>
        <v>28016146.999999996</v>
      </c>
      <c r="D28" s="35">
        <f t="shared" si="10"/>
        <v>27414928.000000004</v>
      </c>
      <c r="E28" s="35">
        <f t="shared" si="10"/>
        <v>26482290</v>
      </c>
      <c r="F28" s="35">
        <f t="shared" si="10"/>
        <v>27046364.999999996</v>
      </c>
      <c r="G28" s="35">
        <f t="shared" si="10"/>
        <v>27435285.999999996</v>
      </c>
      <c r="H28" s="35">
        <f t="shared" si="10"/>
        <v>27586893</v>
      </c>
      <c r="I28" s="35">
        <f t="shared" si="10"/>
        <v>25771648</v>
      </c>
      <c r="J28" s="35">
        <f t="shared" si="10"/>
        <v>27021311</v>
      </c>
      <c r="K28" s="35">
        <f t="shared" si="10"/>
        <v>28664176</v>
      </c>
      <c r="L28" s="35">
        <f t="shared" si="10"/>
        <v>32641925</v>
      </c>
      <c r="M28" s="35">
        <f t="shared" si="10"/>
        <v>33120569.000000004</v>
      </c>
      <c r="N28" s="35">
        <f t="shared" si="10"/>
        <v>34068721</v>
      </c>
      <c r="O28" s="188">
        <f t="shared" ref="O28:R28" si="11">O24*O$10*1000</f>
        <v>29533910</v>
      </c>
      <c r="P28" s="188">
        <f t="shared" si="11"/>
        <v>26278422.000000004</v>
      </c>
      <c r="Q28" s="188">
        <f t="shared" si="11"/>
        <v>26618407</v>
      </c>
      <c r="R28" s="188">
        <f t="shared" si="11"/>
        <v>26866475</v>
      </c>
      <c r="T28" s="36"/>
      <c r="U28" s="31"/>
    </row>
    <row r="29" spans="2:22" x14ac:dyDescent="0.25">
      <c r="B29" t="s">
        <v>122</v>
      </c>
      <c r="C29" s="35">
        <f t="shared" si="10"/>
        <v>18848591</v>
      </c>
      <c r="D29" s="35">
        <f t="shared" si="10"/>
        <v>8200861.9999999935</v>
      </c>
      <c r="E29" s="35">
        <f t="shared" si="10"/>
        <v>10436090</v>
      </c>
      <c r="F29" s="35">
        <f t="shared" si="10"/>
        <v>9143569</v>
      </c>
      <c r="G29" s="35">
        <f t="shared" si="10"/>
        <v>10374732.000000007</v>
      </c>
      <c r="H29" s="35">
        <f t="shared" si="10"/>
        <v>9307414.9999999981</v>
      </c>
      <c r="I29" s="35">
        <f t="shared" si="10"/>
        <v>8149316</v>
      </c>
      <c r="J29" s="35">
        <f t="shared" si="10"/>
        <v>8955146.9999999981</v>
      </c>
      <c r="K29" s="35">
        <f t="shared" si="10"/>
        <v>9760119</v>
      </c>
      <c r="L29" s="35">
        <f t="shared" si="10"/>
        <v>13926022</v>
      </c>
      <c r="M29" s="35">
        <f t="shared" si="10"/>
        <v>15469204.000000002</v>
      </c>
      <c r="N29" s="35">
        <f t="shared" si="10"/>
        <v>19637912</v>
      </c>
      <c r="O29" s="188">
        <f t="shared" ref="O29:R29" si="12">O25*O$10*1000</f>
        <v>3042310</v>
      </c>
      <c r="P29" s="188">
        <f t="shared" si="12"/>
        <v>9703870</v>
      </c>
      <c r="Q29" s="188">
        <f t="shared" si="12"/>
        <v>11078205.999999998</v>
      </c>
      <c r="R29" s="188">
        <f t="shared" si="12"/>
        <v>13088330.999999998</v>
      </c>
      <c r="T29" s="36"/>
      <c r="U29" s="31"/>
      <c r="V29" s="82"/>
    </row>
    <row r="30" spans="2:22" x14ac:dyDescent="0.25">
      <c r="T30" s="36"/>
      <c r="U30" s="31"/>
    </row>
    <row r="31" spans="2:22" x14ac:dyDescent="0.25">
      <c r="B31" t="s">
        <v>123</v>
      </c>
      <c r="C31" s="35">
        <f>C21*C$14</f>
        <v>-10438.423003127917</v>
      </c>
      <c r="D31" s="35">
        <f t="shared" ref="D31:N31" si="13">D21*D$14</f>
        <v>-2750.9337219820036</v>
      </c>
      <c r="E31" s="35">
        <f t="shared" si="13"/>
        <v>-661.40683205225832</v>
      </c>
      <c r="F31" s="35">
        <f t="shared" si="13"/>
        <v>1248.8052639651737</v>
      </c>
      <c r="G31" s="35">
        <f t="shared" si="13"/>
        <v>768.28487458181405</v>
      </c>
      <c r="H31" s="35">
        <f t="shared" si="13"/>
        <v>-1116.2907713886743</v>
      </c>
      <c r="I31" s="35">
        <f t="shared" si="13"/>
        <v>-207.10838994641514</v>
      </c>
      <c r="J31" s="35">
        <f t="shared" si="13"/>
        <v>-1420.3220511555037</v>
      </c>
      <c r="K31" s="35">
        <f t="shared" si="13"/>
        <v>-992.04560893822884</v>
      </c>
      <c r="L31" s="35">
        <f t="shared" si="13"/>
        <v>3355.8204439002143</v>
      </c>
      <c r="M31" s="35">
        <f t="shared" si="13"/>
        <v>2321.0198763858216</v>
      </c>
      <c r="N31" s="35">
        <f t="shared" si="13"/>
        <v>-9904.2547799848235</v>
      </c>
      <c r="O31" s="188">
        <f t="shared" ref="O31:R31" si="14">O21*O$14</f>
        <v>29039.815647253447</v>
      </c>
      <c r="P31" s="188">
        <f t="shared" si="14"/>
        <v>1136.4865104543335</v>
      </c>
      <c r="Q31" s="188">
        <f t="shared" si="14"/>
        <v>513.24444306182806</v>
      </c>
      <c r="R31" s="188">
        <f t="shared" si="14"/>
        <v>-5070.0635712653575</v>
      </c>
      <c r="T31" s="180">
        <f>SUM(K31:N31)</f>
        <v>-5219.4600686370159</v>
      </c>
      <c r="U31" s="181">
        <f>SUM(G31:J31,O31:R31)</f>
        <v>23644.046691595471</v>
      </c>
      <c r="V31">
        <f>T31+U31</f>
        <v>18424.586622958457</v>
      </c>
    </row>
    <row r="32" spans="2:22" x14ac:dyDescent="0.25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188"/>
      <c r="P32" s="188"/>
      <c r="Q32" s="188"/>
      <c r="R32" s="188"/>
      <c r="T32" s="36"/>
      <c r="U32" s="31"/>
    </row>
    <row r="33" spans="2:22" x14ac:dyDescent="0.25">
      <c r="B33" t="s">
        <v>124</v>
      </c>
      <c r="C33" s="35">
        <f t="shared" ref="C33:N35" si="15">C27*C$14</f>
        <v>-1489498.5089007241</v>
      </c>
      <c r="D33" s="35">
        <f t="shared" si="15"/>
        <v>-392005.21114945877</v>
      </c>
      <c r="E33" s="35">
        <f t="shared" si="15"/>
        <v>-94848.527991565104</v>
      </c>
      <c r="F33" s="35">
        <f t="shared" si="15"/>
        <v>179650.78224861913</v>
      </c>
      <c r="G33" s="35">
        <f t="shared" si="15"/>
        <v>110224.22501456381</v>
      </c>
      <c r="H33" s="35">
        <f t="shared" si="15"/>
        <v>-157964.34707161007</v>
      </c>
      <c r="I33" s="35">
        <f t="shared" si="15"/>
        <v>-29937.975324442916</v>
      </c>
      <c r="J33" s="35">
        <f t="shared" si="15"/>
        <v>-202516.43601787451</v>
      </c>
      <c r="K33" s="35">
        <f t="shared" si="15"/>
        <v>-138489.96259005353</v>
      </c>
      <c r="L33" s="35">
        <f t="shared" si="15"/>
        <v>493038.81806880177</v>
      </c>
      <c r="M33" s="35">
        <f t="shared" si="15"/>
        <v>337132.50605264236</v>
      </c>
      <c r="N33" s="35">
        <f t="shared" si="15"/>
        <v>-1427838.1101144317</v>
      </c>
      <c r="O33" s="188">
        <f t="shared" ref="O33:R33" si="16">O27*O$14</f>
        <v>4159434.1119812494</v>
      </c>
      <c r="P33" s="188">
        <f t="shared" si="16"/>
        <v>161560.29705877486</v>
      </c>
      <c r="Q33" s="188">
        <f t="shared" si="16"/>
        <v>72867.395647064637</v>
      </c>
      <c r="R33" s="188">
        <f t="shared" si="16"/>
        <v>-726025.87041561783</v>
      </c>
      <c r="T33" s="180">
        <f>SUM(K33:N33)</f>
        <v>-736156.74858304113</v>
      </c>
      <c r="U33" s="181">
        <f t="shared" ref="U33:U35" si="17">SUM(G33:J33,O33:R33)</f>
        <v>3387641.4008721076</v>
      </c>
      <c r="V33">
        <f>T33+U33</f>
        <v>2651484.6522890665</v>
      </c>
    </row>
    <row r="34" spans="2:22" x14ac:dyDescent="0.25">
      <c r="B34" t="s">
        <v>125</v>
      </c>
      <c r="C34" s="35">
        <f t="shared" si="15"/>
        <v>-1411087.7993866922</v>
      </c>
      <c r="D34" s="35">
        <f t="shared" si="15"/>
        <v>-354840.5755483199</v>
      </c>
      <c r="E34" s="35">
        <f t="shared" si="15"/>
        <v>-89609.39328532503</v>
      </c>
      <c r="F34" s="35">
        <f t="shared" si="15"/>
        <v>171339.95021736264</v>
      </c>
      <c r="G34" s="35">
        <f t="shared" si="15"/>
        <v>108779.83732423066</v>
      </c>
      <c r="H34" s="35">
        <f t="shared" si="15"/>
        <v>-153737.51045204009</v>
      </c>
      <c r="I34" s="35">
        <f t="shared" si="15"/>
        <v>-26684.923571134146</v>
      </c>
      <c r="J34" s="35">
        <f t="shared" si="15"/>
        <v>-186453.08171847439</v>
      </c>
      <c r="K34" s="35">
        <f t="shared" si="15"/>
        <v>-129066.27334080145</v>
      </c>
      <c r="L34" s="35">
        <f t="shared" si="15"/>
        <v>499708.6006337055</v>
      </c>
      <c r="M34" s="35">
        <f t="shared" si="15"/>
        <v>331464.21507658507</v>
      </c>
      <c r="N34" s="35">
        <f t="shared" si="15"/>
        <v>-1430085.1112861852</v>
      </c>
      <c r="O34" s="188">
        <f t="shared" ref="O34:R34" si="18">O28*O$14</f>
        <v>3835325.4020980815</v>
      </c>
      <c r="P34" s="188">
        <f t="shared" si="18"/>
        <v>146417.15210765103</v>
      </c>
      <c r="Q34" s="188">
        <f t="shared" si="18"/>
        <v>70589.737934890029</v>
      </c>
      <c r="R34" s="188">
        <f t="shared" si="18"/>
        <v>-716300.7124602166</v>
      </c>
      <c r="T34" s="180">
        <f>SUM(K34:N34)</f>
        <v>-727978.56891669612</v>
      </c>
      <c r="U34" s="181">
        <f t="shared" si="17"/>
        <v>3077935.9012629879</v>
      </c>
      <c r="V34">
        <f>T34+U34</f>
        <v>2349957.3323462917</v>
      </c>
    </row>
    <row r="35" spans="2:22" x14ac:dyDescent="0.25">
      <c r="B35" t="s">
        <v>126</v>
      </c>
      <c r="C35" s="35">
        <f t="shared" si="15"/>
        <v>-949345.98950133345</v>
      </c>
      <c r="D35" s="35">
        <f t="shared" si="15"/>
        <v>-106146.49770637162</v>
      </c>
      <c r="E35" s="35">
        <f t="shared" si="15"/>
        <v>-35313.097665309448</v>
      </c>
      <c r="F35" s="35">
        <f t="shared" si="15"/>
        <v>57924.924745673605</v>
      </c>
      <c r="G35" s="35">
        <f t="shared" si="15"/>
        <v>41135.407126519152</v>
      </c>
      <c r="H35" s="35">
        <f t="shared" si="15"/>
        <v>-51868.791851404741</v>
      </c>
      <c r="I35" s="35">
        <f t="shared" si="15"/>
        <v>-8438.1051074817042</v>
      </c>
      <c r="J35" s="35">
        <f t="shared" si="15"/>
        <v>-61792.514633799619</v>
      </c>
      <c r="K35" s="35">
        <f t="shared" si="15"/>
        <v>-43946.917807536127</v>
      </c>
      <c r="L35" s="35">
        <f t="shared" si="15"/>
        <v>213190.6425866182</v>
      </c>
      <c r="M35" s="35">
        <f t="shared" si="15"/>
        <v>154812.78602790821</v>
      </c>
      <c r="N35" s="35">
        <f t="shared" si="15"/>
        <v>-824330.49271055148</v>
      </c>
      <c r="O35" s="188">
        <f t="shared" ref="O35:R35" si="19">O29*O$14</f>
        <v>395079.71765529906</v>
      </c>
      <c r="P35" s="188">
        <f t="shared" si="19"/>
        <v>54067.668516125945</v>
      </c>
      <c r="Q35" s="188">
        <f t="shared" si="19"/>
        <v>29378.454478088272</v>
      </c>
      <c r="R35" s="188">
        <f t="shared" si="19"/>
        <v>-348954.62915083347</v>
      </c>
      <c r="T35" s="180">
        <f>SUM(K35:N35)</f>
        <v>-500273.98190356122</v>
      </c>
      <c r="U35" s="181">
        <f t="shared" si="17"/>
        <v>48607.207032512873</v>
      </c>
      <c r="V35">
        <f>T35+U35</f>
        <v>-451666.77487104834</v>
      </c>
    </row>
    <row r="36" spans="2:22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188"/>
      <c r="P36" s="188"/>
      <c r="Q36" s="188"/>
      <c r="R36" s="188"/>
      <c r="T36" s="36"/>
      <c r="U36" s="31"/>
    </row>
    <row r="37" spans="2:22" x14ac:dyDescent="0.25">
      <c r="B37" t="s">
        <v>127</v>
      </c>
      <c r="C37" s="35">
        <f>C31+C21</f>
        <v>196809.0589968721</v>
      </c>
      <c r="D37" s="35">
        <f t="shared" ref="D37:N37" si="20">D31+D21</f>
        <v>209785.78027801801</v>
      </c>
      <c r="E37" s="35">
        <f t="shared" si="20"/>
        <v>194804.34616794775</v>
      </c>
      <c r="F37" s="35">
        <f t="shared" si="20"/>
        <v>198375.29526396518</v>
      </c>
      <c r="G37" s="35">
        <f t="shared" si="20"/>
        <v>194536.87087458183</v>
      </c>
      <c r="H37" s="35">
        <f t="shared" si="20"/>
        <v>199192.62522861132</v>
      </c>
      <c r="I37" s="35">
        <f t="shared" si="20"/>
        <v>199813.12061005359</v>
      </c>
      <c r="J37" s="35">
        <f t="shared" si="20"/>
        <v>204416.78994884453</v>
      </c>
      <c r="K37" s="35">
        <f t="shared" si="20"/>
        <v>219330.19039106177</v>
      </c>
      <c r="L37" s="35">
        <f t="shared" si="20"/>
        <v>222564.45344390019</v>
      </c>
      <c r="M37" s="35">
        <f t="shared" si="20"/>
        <v>234241.97987638586</v>
      </c>
      <c r="N37" s="35">
        <f t="shared" si="20"/>
        <v>226043.44522001507</v>
      </c>
      <c r="O37" s="188">
        <f t="shared" ref="O37:R37" si="21">O31+O21</f>
        <v>252660.81564725345</v>
      </c>
      <c r="P37" s="188">
        <f t="shared" si="21"/>
        <v>205108.9835104543</v>
      </c>
      <c r="Q37" s="188">
        <f t="shared" si="21"/>
        <v>194050.5754430618</v>
      </c>
      <c r="R37" s="188">
        <f t="shared" si="21"/>
        <v>185094.11442873464</v>
      </c>
      <c r="T37" s="36"/>
      <c r="U37" s="31"/>
    </row>
    <row r="38" spans="2:22" x14ac:dyDescent="0.2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88"/>
      <c r="P38" s="188"/>
      <c r="Q38" s="188"/>
      <c r="R38" s="188"/>
      <c r="T38" s="36"/>
      <c r="U38" s="31"/>
    </row>
    <row r="39" spans="2:22" x14ac:dyDescent="0.25">
      <c r="B39" t="s">
        <v>128</v>
      </c>
      <c r="C39" s="35">
        <f>C33+C27</f>
        <v>28083437.491099276</v>
      </c>
      <c r="D39" s="35">
        <f t="shared" ref="D39:N39" si="22">D33+D27</f>
        <v>29894256.788850546</v>
      </c>
      <c r="E39" s="35">
        <f t="shared" si="22"/>
        <v>27935764.472008433</v>
      </c>
      <c r="F39" s="35">
        <f t="shared" si="22"/>
        <v>28537897.78224862</v>
      </c>
      <c r="G39" s="35">
        <f t="shared" si="22"/>
        <v>27909798.225014564</v>
      </c>
      <c r="H39" s="35">
        <f t="shared" si="22"/>
        <v>28187398.65292839</v>
      </c>
      <c r="I39" s="35">
        <f t="shared" si="22"/>
        <v>28883428.024675556</v>
      </c>
      <c r="J39" s="35">
        <f t="shared" si="22"/>
        <v>29146741.563982125</v>
      </c>
      <c r="K39" s="35">
        <f t="shared" si="22"/>
        <v>30618582.037409946</v>
      </c>
      <c r="L39" s="35">
        <f t="shared" si="22"/>
        <v>32699280.818068802</v>
      </c>
      <c r="M39" s="35">
        <f t="shared" si="22"/>
        <v>34024088.506052651</v>
      </c>
      <c r="N39" s="35">
        <f t="shared" si="22"/>
        <v>32587352.889885567</v>
      </c>
      <c r="O39" s="188">
        <f t="shared" ref="O39:R39" si="23">O33+O27</f>
        <v>36189142.11198125</v>
      </c>
      <c r="P39" s="188">
        <f t="shared" si="23"/>
        <v>29157819.297058776</v>
      </c>
      <c r="Q39" s="188">
        <f t="shared" si="23"/>
        <v>27550147.395647064</v>
      </c>
      <c r="R39" s="188">
        <f t="shared" si="23"/>
        <v>26505213.129584379</v>
      </c>
      <c r="T39" s="36"/>
      <c r="U39" s="31"/>
    </row>
    <row r="40" spans="2:22" x14ac:dyDescent="0.25">
      <c r="B40" t="s">
        <v>129</v>
      </c>
      <c r="C40" s="35">
        <f t="shared" ref="C40:N41" si="24">C34+C28</f>
        <v>26605059.200613305</v>
      </c>
      <c r="D40" s="35">
        <f t="shared" si="24"/>
        <v>27060087.424451683</v>
      </c>
      <c r="E40" s="35">
        <f t="shared" si="24"/>
        <v>26392680.606714673</v>
      </c>
      <c r="F40" s="35">
        <f t="shared" si="24"/>
        <v>27217704.950217359</v>
      </c>
      <c r="G40" s="35">
        <f t="shared" si="24"/>
        <v>27544065.837324228</v>
      </c>
      <c r="H40" s="35">
        <f t="shared" si="24"/>
        <v>27433155.48954796</v>
      </c>
      <c r="I40" s="35">
        <f t="shared" si="24"/>
        <v>25744963.076428864</v>
      </c>
      <c r="J40" s="35">
        <f t="shared" si="24"/>
        <v>26834857.918281525</v>
      </c>
      <c r="K40" s="35">
        <f t="shared" si="24"/>
        <v>28535109.726659197</v>
      </c>
      <c r="L40" s="35">
        <f t="shared" si="24"/>
        <v>33141633.600633707</v>
      </c>
      <c r="M40" s="35">
        <f t="shared" si="24"/>
        <v>33452033.215076588</v>
      </c>
      <c r="N40" s="35">
        <f t="shared" si="24"/>
        <v>32638635.888713814</v>
      </c>
      <c r="O40" s="188">
        <f t="shared" ref="O40:R40" si="25">O34+O28</f>
        <v>33369235.402098082</v>
      </c>
      <c r="P40" s="188">
        <f t="shared" si="25"/>
        <v>26424839.152107656</v>
      </c>
      <c r="Q40" s="188">
        <f t="shared" si="25"/>
        <v>26688996.737934891</v>
      </c>
      <c r="R40" s="188">
        <f t="shared" si="25"/>
        <v>26150174.287539784</v>
      </c>
      <c r="T40" s="36"/>
      <c r="U40" s="31"/>
    </row>
    <row r="41" spans="2:22" x14ac:dyDescent="0.25">
      <c r="B41" t="s">
        <v>130</v>
      </c>
      <c r="C41" s="35">
        <f t="shared" si="24"/>
        <v>17899245.010498665</v>
      </c>
      <c r="D41" s="35">
        <f t="shared" si="24"/>
        <v>8094715.5022936221</v>
      </c>
      <c r="E41" s="35">
        <f t="shared" si="24"/>
        <v>10400776.90233469</v>
      </c>
      <c r="F41" s="35">
        <f t="shared" si="24"/>
        <v>9201493.9247456733</v>
      </c>
      <c r="G41" s="35">
        <f t="shared" si="24"/>
        <v>10415867.407126527</v>
      </c>
      <c r="H41" s="35">
        <f t="shared" si="24"/>
        <v>9255546.2081485931</v>
      </c>
      <c r="I41" s="35">
        <f t="shared" si="24"/>
        <v>8140877.8948925184</v>
      </c>
      <c r="J41" s="35">
        <f t="shared" si="24"/>
        <v>8893354.4853661992</v>
      </c>
      <c r="K41" s="35">
        <f t="shared" si="24"/>
        <v>9716172.0821924638</v>
      </c>
      <c r="L41" s="35">
        <f t="shared" si="24"/>
        <v>14139212.642586619</v>
      </c>
      <c r="M41" s="35">
        <f t="shared" si="24"/>
        <v>15624016.78602791</v>
      </c>
      <c r="N41" s="35">
        <f t="shared" si="24"/>
        <v>18813581.507289447</v>
      </c>
      <c r="O41" s="188">
        <f t="shared" ref="O41:R41" si="26">O35+O29</f>
        <v>3437389.7176552992</v>
      </c>
      <c r="P41" s="188">
        <f t="shared" si="26"/>
        <v>9757937.6685161255</v>
      </c>
      <c r="Q41" s="188">
        <f t="shared" si="26"/>
        <v>11107584.454478087</v>
      </c>
      <c r="R41" s="188">
        <f t="shared" si="26"/>
        <v>12739376.370849164</v>
      </c>
      <c r="T41" s="36"/>
      <c r="U41" s="31"/>
    </row>
    <row r="42" spans="2:22" x14ac:dyDescent="0.25">
      <c r="T42" s="36"/>
      <c r="U42" s="31"/>
    </row>
    <row r="43" spans="2:22" x14ac:dyDescent="0.25">
      <c r="B43" t="s">
        <v>74</v>
      </c>
      <c r="D43" s="35"/>
      <c r="E43" s="35"/>
      <c r="F43" s="35"/>
      <c r="G43" s="35">
        <f>(8/31)*SUM(G33:G35)</f>
        <v>67132.766313629327</v>
      </c>
      <c r="H43" s="35">
        <f>SUM(H33:H35)</f>
        <v>-363570.64937505493</v>
      </c>
      <c r="I43" s="35">
        <f t="shared" ref="I43:N43" si="27">SUM(I33:I35)</f>
        <v>-65061.00400305877</v>
      </c>
      <c r="J43" s="35">
        <f t="shared" si="27"/>
        <v>-450762.03237014852</v>
      </c>
      <c r="K43" s="35">
        <f t="shared" si="27"/>
        <v>-311503.15373839112</v>
      </c>
      <c r="L43" s="35">
        <f t="shared" si="27"/>
        <v>1205938.0612891256</v>
      </c>
      <c r="M43" s="35">
        <f t="shared" si="27"/>
        <v>823409.50715713564</v>
      </c>
      <c r="N43" s="35">
        <f t="shared" si="27"/>
        <v>-3682253.7141111679</v>
      </c>
      <c r="O43" s="188">
        <f t="shared" ref="O43:R43" si="28">SUM(O33:O35)</f>
        <v>8389839.2317346297</v>
      </c>
      <c r="P43" s="188">
        <f t="shared" si="28"/>
        <v>362045.11768255179</v>
      </c>
      <c r="Q43" s="188">
        <f t="shared" si="28"/>
        <v>172835.58806004294</v>
      </c>
      <c r="R43" s="188">
        <f t="shared" si="28"/>
        <v>-1791281.2120266678</v>
      </c>
      <c r="S43" s="35"/>
      <c r="T43" s="180">
        <f>SUM(K43:N43)</f>
        <v>-1964409.2994032977</v>
      </c>
      <c r="U43" s="181">
        <f t="shared" ref="U43" si="29">SUM(G43:J43,O43:R43)</f>
        <v>6321177.8060159236</v>
      </c>
      <c r="V43">
        <f>T43+U43</f>
        <v>4356768.5066126259</v>
      </c>
    </row>
    <row r="44" spans="2:22" x14ac:dyDescent="0.25">
      <c r="T44" s="36"/>
      <c r="U44" s="31"/>
    </row>
    <row r="45" spans="2:22" x14ac:dyDescent="0.25">
      <c r="B45" t="s">
        <v>111</v>
      </c>
      <c r="C45" s="35">
        <f>'WN Summary'!C42</f>
        <v>1779</v>
      </c>
      <c r="D45" s="35">
        <f>'WN Summary'!D42</f>
        <v>1785</v>
      </c>
      <c r="E45" s="35">
        <f>'WN Summary'!E42</f>
        <v>1782</v>
      </c>
      <c r="F45" s="35">
        <f>'WN Summary'!F42</f>
        <v>1781</v>
      </c>
      <c r="G45" s="35">
        <f>'WN Summary'!G42</f>
        <v>1785</v>
      </c>
      <c r="H45" s="35">
        <f>'WN Summary'!H42</f>
        <v>1786</v>
      </c>
      <c r="I45" s="35">
        <f>'WN Summary'!I42</f>
        <v>1786</v>
      </c>
      <c r="J45" s="35">
        <f>'WN Summary'!J42</f>
        <v>1785</v>
      </c>
      <c r="K45" s="35">
        <f>'WN Summary'!K42</f>
        <v>1783</v>
      </c>
      <c r="L45" s="35">
        <f>'WN Summary'!L42</f>
        <v>1786</v>
      </c>
      <c r="M45" s="35">
        <f>'WN Summary'!M42</f>
        <v>1789</v>
      </c>
      <c r="N45" s="35">
        <f>'WN Summary'!N42</f>
        <v>1790</v>
      </c>
      <c r="O45" s="188">
        <f>'WN Summary'!O42</f>
        <v>1789</v>
      </c>
      <c r="P45" s="188">
        <f>'WN Summary'!P42</f>
        <v>1793</v>
      </c>
      <c r="Q45" s="188">
        <f>'WN Summary'!Q42</f>
        <v>1799</v>
      </c>
      <c r="R45" s="188">
        <f>'WN Summary'!R42</f>
        <v>1793</v>
      </c>
      <c r="T45" s="36"/>
      <c r="U45" s="31"/>
    </row>
    <row r="46" spans="2:22" x14ac:dyDescent="0.25">
      <c r="B46" t="s">
        <v>134</v>
      </c>
      <c r="C46" s="35">
        <f>SUM(C39:C41)/C45</f>
        <v>40802.552952339094</v>
      </c>
      <c r="D46" s="35">
        <f t="shared" ref="D46:N46" si="30">SUM(D39:D41)/D45</f>
        <v>36442.050260838012</v>
      </c>
      <c r="E46" s="35">
        <f t="shared" si="30"/>
        <v>36323.918058954987</v>
      </c>
      <c r="F46" s="35">
        <f t="shared" si="30"/>
        <v>36472.260896806096</v>
      </c>
      <c r="G46" s="35">
        <f t="shared" si="30"/>
        <v>36901.810347039391</v>
      </c>
      <c r="H46" s="35">
        <f t="shared" si="30"/>
        <v>36324.804227673536</v>
      </c>
      <c r="I46" s="35">
        <f t="shared" si="30"/>
        <v>35145.167410972535</v>
      </c>
      <c r="J46" s="35">
        <f t="shared" si="30"/>
        <v>36344.512026683391</v>
      </c>
      <c r="K46" s="35">
        <f t="shared" si="30"/>
        <v>38625.835023141677</v>
      </c>
      <c r="L46" s="35">
        <f t="shared" si="30"/>
        <v>44781.706081348901</v>
      </c>
      <c r="M46" s="35">
        <f t="shared" si="30"/>
        <v>46450.608444470177</v>
      </c>
      <c r="N46" s="35">
        <f t="shared" si="30"/>
        <v>46949.480606641802</v>
      </c>
      <c r="O46" s="188">
        <f t="shared" ref="O46:R46" si="31">SUM(O39:O41)/O45</f>
        <v>40802.552952339094</v>
      </c>
      <c r="P46" s="188">
        <f t="shared" si="31"/>
        <v>36442.050260838012</v>
      </c>
      <c r="Q46" s="188">
        <f t="shared" si="31"/>
        <v>36323.918058954994</v>
      </c>
      <c r="R46" s="188">
        <f t="shared" si="31"/>
        <v>36472.260896806096</v>
      </c>
      <c r="T46" s="36"/>
      <c r="U46" s="31"/>
    </row>
    <row r="47" spans="2:22" x14ac:dyDescent="0.25">
      <c r="T47" s="36"/>
      <c r="U47" s="31"/>
    </row>
    <row r="48" spans="2:22" x14ac:dyDescent="0.25">
      <c r="B48" t="s">
        <v>112</v>
      </c>
      <c r="C48" s="35">
        <f>C39/C45</f>
        <v>15786.080658290768</v>
      </c>
      <c r="D48" s="35">
        <f t="shared" ref="D48:N48" si="32">D39/D45</f>
        <v>16747.482794874257</v>
      </c>
      <c r="E48" s="35">
        <f t="shared" si="32"/>
        <v>15676.635506177572</v>
      </c>
      <c r="F48" s="35">
        <f t="shared" si="32"/>
        <v>16023.524863699393</v>
      </c>
      <c r="G48" s="35">
        <f t="shared" si="32"/>
        <v>15635.741302529168</v>
      </c>
      <c r="H48" s="35">
        <f t="shared" si="32"/>
        <v>15782.418058750498</v>
      </c>
      <c r="I48" s="35">
        <f t="shared" si="32"/>
        <v>16172.132152673883</v>
      </c>
      <c r="J48" s="35">
        <f t="shared" si="32"/>
        <v>16328.706758533404</v>
      </c>
      <c r="K48" s="35">
        <f t="shared" si="32"/>
        <v>17172.508153342649</v>
      </c>
      <c r="L48" s="35">
        <f t="shared" si="32"/>
        <v>18308.667871259127</v>
      </c>
      <c r="M48" s="35">
        <f t="shared" si="32"/>
        <v>19018.495531611319</v>
      </c>
      <c r="N48" s="35">
        <f t="shared" si="32"/>
        <v>18205.22507814836</v>
      </c>
      <c r="O48" s="188">
        <f t="shared" ref="O48:R48" si="33">O39/O45</f>
        <v>20228.698776959893</v>
      </c>
      <c r="P48" s="188">
        <f t="shared" si="33"/>
        <v>16262.02972507461</v>
      </c>
      <c r="Q48" s="188">
        <f t="shared" si="33"/>
        <v>15314.145300526439</v>
      </c>
      <c r="R48" s="188">
        <f t="shared" si="33"/>
        <v>14782.606318786604</v>
      </c>
      <c r="T48" s="36"/>
      <c r="U48" s="31"/>
    </row>
    <row r="49" spans="2:22" x14ac:dyDescent="0.25">
      <c r="B49" t="s">
        <v>113</v>
      </c>
      <c r="C49" s="35">
        <f>C40/C45</f>
        <v>14955.064193711807</v>
      </c>
      <c r="D49" s="35">
        <f t="shared" ref="D49:N49" si="34">D40/D45</f>
        <v>15159.712842830075</v>
      </c>
      <c r="E49" s="35">
        <f t="shared" si="34"/>
        <v>14810.707411175463</v>
      </c>
      <c r="F49" s="35">
        <f t="shared" si="34"/>
        <v>15282.25993835899</v>
      </c>
      <c r="G49" s="35">
        <f t="shared" si="34"/>
        <v>15430.849208585001</v>
      </c>
      <c r="H49" s="35">
        <f t="shared" si="34"/>
        <v>15360.109456633796</v>
      </c>
      <c r="I49" s="35">
        <f t="shared" si="34"/>
        <v>14414.872943129263</v>
      </c>
      <c r="J49" s="35">
        <f t="shared" si="34"/>
        <v>15033.533847776765</v>
      </c>
      <c r="K49" s="35">
        <f t="shared" si="34"/>
        <v>16003.987507941221</v>
      </c>
      <c r="L49" s="35">
        <f t="shared" si="34"/>
        <v>18556.345801026713</v>
      </c>
      <c r="M49" s="35">
        <f t="shared" si="34"/>
        <v>18698.732931848288</v>
      </c>
      <c r="N49" s="35">
        <f t="shared" si="34"/>
        <v>18233.874798164143</v>
      </c>
      <c r="O49" s="188">
        <f t="shared" ref="O49:R49" si="35">O40/O45</f>
        <v>18652.451314755774</v>
      </c>
      <c r="P49" s="188">
        <f t="shared" si="35"/>
        <v>14737.779783662943</v>
      </c>
      <c r="Q49" s="188">
        <f t="shared" si="35"/>
        <v>14835.46233348243</v>
      </c>
      <c r="R49" s="188">
        <f t="shared" si="35"/>
        <v>14584.592463770097</v>
      </c>
      <c r="T49" s="36"/>
      <c r="U49" s="31"/>
    </row>
    <row r="50" spans="2:22" x14ac:dyDescent="0.25">
      <c r="B50" t="s">
        <v>131</v>
      </c>
      <c r="C50" s="35">
        <f>C41/C45</f>
        <v>10061.408100336517</v>
      </c>
      <c r="D50" s="35">
        <f t="shared" ref="D50:N50" si="36">D41/D45</f>
        <v>4534.8546231336823</v>
      </c>
      <c r="E50" s="35">
        <f t="shared" si="36"/>
        <v>5836.5751416019584</v>
      </c>
      <c r="F50" s="35">
        <f t="shared" si="36"/>
        <v>5166.4760947477107</v>
      </c>
      <c r="G50" s="35">
        <f t="shared" si="36"/>
        <v>5835.2198359252252</v>
      </c>
      <c r="H50" s="35">
        <f t="shared" si="36"/>
        <v>5182.2767122892456</v>
      </c>
      <c r="I50" s="35">
        <f t="shared" si="36"/>
        <v>4558.162315169383</v>
      </c>
      <c r="J50" s="35">
        <f t="shared" si="36"/>
        <v>4982.2714203732212</v>
      </c>
      <c r="K50" s="35">
        <f t="shared" si="36"/>
        <v>5449.3393618578039</v>
      </c>
      <c r="L50" s="35">
        <f t="shared" si="36"/>
        <v>7916.6924090630564</v>
      </c>
      <c r="M50" s="35">
        <f t="shared" si="36"/>
        <v>8733.3799810105702</v>
      </c>
      <c r="N50" s="35">
        <f t="shared" si="36"/>
        <v>10510.3807303293</v>
      </c>
      <c r="O50" s="188">
        <f t="shared" ref="O50:R50" si="37">O41/O45</f>
        <v>1921.4028606234206</v>
      </c>
      <c r="P50" s="188">
        <f t="shared" si="37"/>
        <v>5442.2407521004607</v>
      </c>
      <c r="Q50" s="188">
        <f t="shared" si="37"/>
        <v>6174.3104249461294</v>
      </c>
      <c r="R50" s="188">
        <f t="shared" si="37"/>
        <v>7105.0621142493947</v>
      </c>
      <c r="T50" s="36"/>
      <c r="U50" s="31"/>
    </row>
    <row r="51" spans="2:22" x14ac:dyDescent="0.25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188"/>
      <c r="P51" s="188"/>
      <c r="Q51" s="188"/>
      <c r="R51" s="188"/>
      <c r="T51" s="36"/>
      <c r="U51" s="31"/>
    </row>
    <row r="52" spans="2:22" x14ac:dyDescent="0.25">
      <c r="B52" t="s">
        <v>135</v>
      </c>
      <c r="C52" s="35">
        <f>C37/C45</f>
        <v>110.62903822196296</v>
      </c>
      <c r="D52" s="35">
        <f t="shared" ref="D52:N52" si="38">D37/D45</f>
        <v>117.52704777480001</v>
      </c>
      <c r="E52" s="35">
        <f t="shared" si="38"/>
        <v>109.31781490906158</v>
      </c>
      <c r="F52" s="35">
        <f t="shared" si="38"/>
        <v>111.38421968779627</v>
      </c>
      <c r="G52" s="35">
        <f t="shared" si="38"/>
        <v>108.98424138632035</v>
      </c>
      <c r="H52" s="35">
        <f t="shared" si="38"/>
        <v>111.53002532397051</v>
      </c>
      <c r="I52" s="35">
        <f t="shared" si="38"/>
        <v>111.877447150086</v>
      </c>
      <c r="J52" s="35">
        <f t="shared" si="38"/>
        <v>114.51921005537508</v>
      </c>
      <c r="K52" s="35">
        <f t="shared" si="38"/>
        <v>123.01188468371383</v>
      </c>
      <c r="L52" s="35">
        <f t="shared" si="38"/>
        <v>124.6161553437291</v>
      </c>
      <c r="M52" s="35">
        <f t="shared" si="38"/>
        <v>130.93458908685628</v>
      </c>
      <c r="N52" s="35">
        <f t="shared" si="38"/>
        <v>126.28125431285758</v>
      </c>
      <c r="O52" s="188">
        <f t="shared" ref="O52:R52" si="39">O37/O45</f>
        <v>141.23019320696113</v>
      </c>
      <c r="P52" s="188">
        <f t="shared" si="39"/>
        <v>114.39430201363876</v>
      </c>
      <c r="Q52" s="188">
        <f t="shared" si="39"/>
        <v>107.86580069097376</v>
      </c>
      <c r="R52" s="188">
        <f t="shared" si="39"/>
        <v>103.2315194806105</v>
      </c>
      <c r="T52" s="36"/>
      <c r="U52" s="31"/>
    </row>
    <row r="53" spans="2:22" x14ac:dyDescent="0.25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188"/>
      <c r="P53" s="188"/>
      <c r="Q53" s="188"/>
      <c r="R53" s="188"/>
      <c r="T53" s="36"/>
      <c r="U53" s="31"/>
    </row>
    <row r="54" spans="2:22" x14ac:dyDescent="0.25">
      <c r="B54" t="s">
        <v>137</v>
      </c>
      <c r="C54" s="35"/>
      <c r="D54" s="35"/>
      <c r="E54" s="35"/>
      <c r="F54" s="35"/>
      <c r="G54" s="35">
        <f>8/31*G46</f>
        <v>9523.0478314940356</v>
      </c>
      <c r="H54" s="35">
        <f>H46</f>
        <v>36324.804227673536</v>
      </c>
      <c r="I54" s="35">
        <f t="shared" ref="I54:N54" si="40">I46</f>
        <v>35145.167410972535</v>
      </c>
      <c r="J54" s="35">
        <f t="shared" si="40"/>
        <v>36344.512026683391</v>
      </c>
      <c r="K54" s="35">
        <f t="shared" si="40"/>
        <v>38625.835023141677</v>
      </c>
      <c r="L54" s="35">
        <f t="shared" si="40"/>
        <v>44781.706081348901</v>
      </c>
      <c r="M54" s="35">
        <f t="shared" si="40"/>
        <v>46450.608444470177</v>
      </c>
      <c r="N54" s="35">
        <f t="shared" si="40"/>
        <v>46949.480606641802</v>
      </c>
      <c r="O54" s="188">
        <f t="shared" ref="O54:R54" si="41">O46</f>
        <v>40802.552952339094</v>
      </c>
      <c r="P54" s="188">
        <f t="shared" si="41"/>
        <v>36442.050260838012</v>
      </c>
      <c r="Q54" s="188">
        <f t="shared" si="41"/>
        <v>36323.918058954994</v>
      </c>
      <c r="R54" s="188">
        <f t="shared" si="41"/>
        <v>36472.260896806096</v>
      </c>
      <c r="T54" s="180">
        <f>SUM(K54:N54)</f>
        <v>176807.63015560256</v>
      </c>
      <c r="U54" s="181">
        <f t="shared" ref="U54" si="42">SUM(G54:J54,O54:R54)</f>
        <v>267378.31366576167</v>
      </c>
      <c r="V54" s="41">
        <f>T54+U54</f>
        <v>444185.9438213642</v>
      </c>
    </row>
  </sheetData>
  <pageMargins left="0.7" right="0.7" top="0.75" bottom="0.75" header="0.3" footer="0.3"/>
  <pageSetup scale="64" fitToWidth="2" fitToHeight="2" orientation="landscape" r:id="rId1"/>
  <headerFooter differentFirst="1">
    <oddFooter>Page &amp;P of &amp;N</oddFooter>
    <firstFooter>&amp;CPage &amp;P of &amp;N</firstFooter>
  </headerFooter>
  <colBreaks count="1" manualBreakCount="1">
    <brk id="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topLeftCell="C1" zoomScale="80" zoomScaleNormal="80" workbookViewId="0">
      <selection activeCell="U31" sqref="U31"/>
    </sheetView>
  </sheetViews>
  <sheetFormatPr defaultRowHeight="15" x14ac:dyDescent="0.25"/>
  <cols>
    <col min="2" max="2" width="41.140625" customWidth="1"/>
    <col min="3" max="14" width="14.7109375" customWidth="1"/>
    <col min="15" max="18" width="14.7109375" style="187" customWidth="1"/>
    <col min="20" max="20" width="13.7109375" bestFit="1" customWidth="1"/>
    <col min="21" max="21" width="14.85546875" bestFit="1" customWidth="1"/>
    <col min="22" max="22" width="10" customWidth="1"/>
    <col min="23" max="23" width="9.140625" customWidth="1"/>
  </cols>
  <sheetData>
    <row r="1" spans="1:21" x14ac:dyDescent="0.25">
      <c r="A1" s="42"/>
    </row>
    <row r="2" spans="1:21" x14ac:dyDescent="0.25">
      <c r="A2" s="42"/>
    </row>
    <row r="3" spans="1:21" x14ac:dyDescent="0.25">
      <c r="A3" s="42"/>
    </row>
    <row r="4" spans="1:21" x14ac:dyDescent="0.25">
      <c r="A4" s="61" t="s">
        <v>141</v>
      </c>
    </row>
    <row r="5" spans="1:21" x14ac:dyDescent="0.25">
      <c r="A5" s="61" t="s">
        <v>142</v>
      </c>
    </row>
    <row r="6" spans="1:21" x14ac:dyDescent="0.25">
      <c r="A6" s="61" t="s">
        <v>143</v>
      </c>
    </row>
    <row r="7" spans="1:21" x14ac:dyDescent="0.25">
      <c r="A7" s="61" t="s">
        <v>186</v>
      </c>
    </row>
    <row r="8" spans="1:21" x14ac:dyDescent="0.25">
      <c r="C8" s="27">
        <v>43374</v>
      </c>
      <c r="D8" s="27">
        <v>43405</v>
      </c>
      <c r="E8" s="28">
        <v>43435</v>
      </c>
      <c r="F8" s="28">
        <v>43466</v>
      </c>
      <c r="G8" s="28">
        <v>43497</v>
      </c>
      <c r="H8" s="28">
        <v>43525</v>
      </c>
      <c r="I8" s="27">
        <v>43556</v>
      </c>
      <c r="J8" s="27">
        <v>43586</v>
      </c>
      <c r="K8" s="27">
        <v>43617</v>
      </c>
      <c r="L8" s="27">
        <v>43647</v>
      </c>
      <c r="M8" s="27">
        <v>43678</v>
      </c>
      <c r="N8" s="27">
        <v>43709</v>
      </c>
      <c r="O8" s="27">
        <v>43739</v>
      </c>
      <c r="P8" s="27">
        <v>43770</v>
      </c>
      <c r="Q8" s="27">
        <v>43800</v>
      </c>
      <c r="R8" s="27">
        <v>43831</v>
      </c>
    </row>
    <row r="9" spans="1:21" x14ac:dyDescent="0.25">
      <c r="C9" s="29" t="s">
        <v>90</v>
      </c>
      <c r="D9" s="29" t="s">
        <v>91</v>
      </c>
      <c r="E9" s="30" t="s">
        <v>92</v>
      </c>
      <c r="F9" s="30" t="s">
        <v>93</v>
      </c>
      <c r="G9" s="30" t="s">
        <v>94</v>
      </c>
      <c r="H9" s="30" t="s">
        <v>95</v>
      </c>
      <c r="I9" s="29" t="s">
        <v>96</v>
      </c>
      <c r="J9" s="29" t="s">
        <v>97</v>
      </c>
      <c r="K9" s="29" t="s">
        <v>98</v>
      </c>
      <c r="L9" s="29" t="s">
        <v>99</v>
      </c>
      <c r="M9" s="29" t="s">
        <v>100</v>
      </c>
      <c r="N9" s="29" t="s">
        <v>101</v>
      </c>
      <c r="O9" s="29" t="s">
        <v>218</v>
      </c>
      <c r="P9" s="29" t="s">
        <v>219</v>
      </c>
      <c r="Q9" s="29" t="s">
        <v>220</v>
      </c>
      <c r="R9" s="29" t="s">
        <v>221</v>
      </c>
      <c r="T9" s="36" t="s">
        <v>66</v>
      </c>
      <c r="U9" s="31" t="s">
        <v>67</v>
      </c>
    </row>
    <row r="10" spans="1:21" x14ac:dyDescent="0.25">
      <c r="A10" t="s">
        <v>55</v>
      </c>
      <c r="B10" s="26" t="s">
        <v>21</v>
      </c>
      <c r="C10" s="26">
        <f>'WN Summary'!C63</f>
        <v>29477.232</v>
      </c>
      <c r="D10" s="26">
        <f>'WN Summary'!D63</f>
        <v>28412.745999999999</v>
      </c>
      <c r="E10" s="26">
        <f>'WN Summary'!E63</f>
        <v>31630.651000000002</v>
      </c>
      <c r="F10" s="26">
        <f>'WN Summary'!F63</f>
        <v>32306.982</v>
      </c>
      <c r="G10" s="26">
        <f>'WN Summary'!G63</f>
        <v>32133.822</v>
      </c>
      <c r="H10" s="26">
        <f>'WN Summary'!H63</f>
        <v>31398.583999999999</v>
      </c>
      <c r="I10" s="26">
        <f>'WN Summary'!I63</f>
        <v>26840.133000000002</v>
      </c>
      <c r="J10" s="26">
        <f>'WN Summary'!J63</f>
        <v>24350.173999999999</v>
      </c>
      <c r="K10" s="26">
        <f>'WN Summary'!K63</f>
        <v>25931.735000000001</v>
      </c>
      <c r="L10" s="26">
        <f>'WN Summary'!L63</f>
        <v>30368.976999999999</v>
      </c>
      <c r="M10" s="26">
        <f>'WN Summary'!M63</f>
        <v>32091.413</v>
      </c>
      <c r="N10" s="26">
        <f>'WN Summary'!N63</f>
        <v>31991.752</v>
      </c>
      <c r="O10" s="26">
        <f>'WN Summary'!O63</f>
        <v>27510.097000000002</v>
      </c>
      <c r="P10" s="26">
        <f>'WN Summary'!P63</f>
        <v>26663.458999999999</v>
      </c>
      <c r="Q10" s="26">
        <f>'WN Summary'!Q63</f>
        <v>31244.262999999999</v>
      </c>
      <c r="R10" s="26">
        <f>'WN Summary'!R63</f>
        <v>30892.608</v>
      </c>
      <c r="T10" s="37"/>
      <c r="U10" s="40"/>
    </row>
    <row r="11" spans="1:21" x14ac:dyDescent="0.25">
      <c r="A11" t="s">
        <v>55</v>
      </c>
      <c r="B11" s="26" t="s">
        <v>22</v>
      </c>
      <c r="C11" s="33">
        <f>'WN Summary'!C64</f>
        <v>27984.166030703109</v>
      </c>
      <c r="D11" s="33">
        <f>'WN Summary'!D64</f>
        <v>26421.799058982793</v>
      </c>
      <c r="E11" s="33">
        <f>'WN Summary'!E64</f>
        <v>30683.685735945714</v>
      </c>
      <c r="F11" s="33">
        <f>'WN Summary'!F64</f>
        <v>33355.924876641518</v>
      </c>
      <c r="G11" s="33">
        <f>'WN Summary'!G64</f>
        <v>32780.805195262386</v>
      </c>
      <c r="H11" s="33">
        <f>'WN Summary'!H64</f>
        <v>30453.034396080791</v>
      </c>
      <c r="I11" s="33">
        <f>'WN Summary'!I64</f>
        <v>26639.797859087492</v>
      </c>
      <c r="J11" s="33">
        <f>'WN Summary'!J64</f>
        <v>24490.584479590743</v>
      </c>
      <c r="K11" s="33">
        <f>'WN Summary'!K64</f>
        <v>25939.39495809369</v>
      </c>
      <c r="L11" s="33">
        <f>'WN Summary'!L64</f>
        <v>31026.334457981935</v>
      </c>
      <c r="M11" s="33">
        <f>'WN Summary'!M64</f>
        <v>32609.534547319632</v>
      </c>
      <c r="N11" s="33">
        <f>'WN Summary'!N64</f>
        <v>30580.691795558312</v>
      </c>
      <c r="O11" s="33">
        <f>'WN Summary'!O64</f>
        <v>28103.24758828057</v>
      </c>
      <c r="P11" s="33">
        <f>'WN Summary'!P64</f>
        <v>26421.799058982793</v>
      </c>
      <c r="Q11" s="33">
        <f>'WN Summary'!Q64</f>
        <v>30521.509807108789</v>
      </c>
      <c r="R11" s="33">
        <f>'WN Summary'!R64</f>
        <v>33074.143040302413</v>
      </c>
      <c r="T11" s="37"/>
      <c r="U11" s="40"/>
    </row>
    <row r="12" spans="1:21" x14ac:dyDescent="0.25">
      <c r="B12" s="26"/>
      <c r="C12" s="26">
        <f>C11-C10</f>
        <v>-1493.0659692968911</v>
      </c>
      <c r="D12" s="26">
        <f t="shared" ref="D12:N12" si="0">D11-D10</f>
        <v>-1990.946941017206</v>
      </c>
      <c r="E12" s="26">
        <f t="shared" si="0"/>
        <v>-946.96526405428813</v>
      </c>
      <c r="F12" s="26">
        <f t="shared" si="0"/>
        <v>1048.9428766415185</v>
      </c>
      <c r="G12" s="26">
        <f t="shared" si="0"/>
        <v>646.98319526238629</v>
      </c>
      <c r="H12" s="26">
        <f t="shared" si="0"/>
        <v>-945.54960391920758</v>
      </c>
      <c r="I12" s="26">
        <f t="shared" si="0"/>
        <v>-200.33514091250981</v>
      </c>
      <c r="J12" s="26">
        <f t="shared" si="0"/>
        <v>140.41047959074422</v>
      </c>
      <c r="K12" s="26">
        <f t="shared" si="0"/>
        <v>7.6599580936890561</v>
      </c>
      <c r="L12" s="26">
        <f t="shared" si="0"/>
        <v>657.35745798193602</v>
      </c>
      <c r="M12" s="26">
        <f t="shared" si="0"/>
        <v>518.12154731963165</v>
      </c>
      <c r="N12" s="26">
        <f t="shared" si="0"/>
        <v>-1411.0602044416883</v>
      </c>
      <c r="O12" s="26">
        <f t="shared" ref="O12:R12" si="1">O11-O10</f>
        <v>593.15058828056863</v>
      </c>
      <c r="P12" s="26">
        <f t="shared" si="1"/>
        <v>-241.65994101720571</v>
      </c>
      <c r="Q12" s="26">
        <f t="shared" si="1"/>
        <v>-722.75319289121035</v>
      </c>
      <c r="R12" s="26">
        <f t="shared" si="1"/>
        <v>2181.5350403024131</v>
      </c>
      <c r="T12" s="37"/>
      <c r="U12" s="40"/>
    </row>
    <row r="13" spans="1:21" x14ac:dyDescent="0.25">
      <c r="T13" s="37"/>
      <c r="U13" s="40"/>
    </row>
    <row r="14" spans="1:21" x14ac:dyDescent="0.25">
      <c r="B14" t="s">
        <v>115</v>
      </c>
      <c r="C14" s="160">
        <f>(C11-C10)/C10</f>
        <v>-5.0651498393637882E-2</v>
      </c>
      <c r="D14" s="160">
        <f>(D11-D10)/D10</f>
        <v>-7.0072316875574289E-2</v>
      </c>
      <c r="E14" s="160">
        <f t="shared" ref="E14:N14" si="2">(E11-E10)/E10</f>
        <v>-2.9938216069415963E-2</v>
      </c>
      <c r="F14" s="160">
        <f t="shared" si="2"/>
        <v>3.2467993347119778E-2</v>
      </c>
      <c r="G14" s="160">
        <f t="shared" si="2"/>
        <v>2.0134025615203392E-2</v>
      </c>
      <c r="H14" s="160">
        <f t="shared" si="2"/>
        <v>-3.011440273609815E-2</v>
      </c>
      <c r="I14" s="160">
        <f t="shared" si="2"/>
        <v>-7.4640144634346558E-3</v>
      </c>
      <c r="J14" s="160">
        <f t="shared" si="2"/>
        <v>5.7663029262437398E-3</v>
      </c>
      <c r="K14" s="160">
        <f t="shared" si="2"/>
        <v>2.9538934026932852E-4</v>
      </c>
      <c r="L14" s="160">
        <f t="shared" si="2"/>
        <v>2.1645689875623274E-2</v>
      </c>
      <c r="M14" s="160">
        <f t="shared" si="2"/>
        <v>1.6145177132575361E-2</v>
      </c>
      <c r="N14" s="160">
        <f t="shared" si="2"/>
        <v>-4.410699996804452E-2</v>
      </c>
      <c r="O14" s="160">
        <f t="shared" ref="O14:R14" si="3">(O11-O10)/O10</f>
        <v>2.156119581405215E-2</v>
      </c>
      <c r="P14" s="160">
        <f t="shared" si="3"/>
        <v>-9.0633379944142171E-3</v>
      </c>
      <c r="Q14" s="160">
        <f t="shared" si="3"/>
        <v>-2.3132348901659494E-2</v>
      </c>
      <c r="R14" s="160">
        <f t="shared" si="3"/>
        <v>7.0616732659878154E-2</v>
      </c>
      <c r="T14" s="37"/>
      <c r="U14" s="40"/>
    </row>
    <row r="15" spans="1:21" x14ac:dyDescent="0.25">
      <c r="T15" s="37"/>
      <c r="U15" s="40"/>
    </row>
    <row r="16" spans="1:21" x14ac:dyDescent="0.25">
      <c r="B16" t="s">
        <v>116</v>
      </c>
      <c r="C16" s="35">
        <f>'kWh Combined'!G29</f>
        <v>98433.160999999993</v>
      </c>
      <c r="D16" s="35">
        <f>'kWh Combined'!H29</f>
        <v>106589.728</v>
      </c>
      <c r="E16" s="35">
        <f>'kWh Combined'!I29</f>
        <v>113996.25200000001</v>
      </c>
      <c r="F16" s="35">
        <f>'kWh Combined'!J29</f>
        <v>114719.48199999999</v>
      </c>
      <c r="G16" s="35">
        <f>'kWh Combined'!K29</f>
        <v>119453.94099999999</v>
      </c>
      <c r="H16" s="35">
        <f>'kWh Combined'!L29</f>
        <v>113976.63900000001</v>
      </c>
      <c r="I16" s="35">
        <f>'kWh Combined'!M29</f>
        <v>109039.461</v>
      </c>
      <c r="J16" s="35">
        <f>'kWh Combined'!N29</f>
        <v>89812.625</v>
      </c>
      <c r="K16" s="35">
        <f>'kWh Combined'!O29</f>
        <v>88393.592999999993</v>
      </c>
      <c r="L16" s="35">
        <f>'kWh Combined'!P29</f>
        <v>91826.621000000014</v>
      </c>
      <c r="M16" s="35">
        <f>'kWh Combined'!Q29</f>
        <v>97489.996000000014</v>
      </c>
      <c r="N16" s="35">
        <f>'kWh Combined'!R29</f>
        <v>96492.008999999976</v>
      </c>
      <c r="O16" s="188">
        <f>'kWh Combined'!S29</f>
        <v>97981.364000000001</v>
      </c>
      <c r="P16" s="188">
        <f>'kWh Combined'!T29</f>
        <v>108067.087</v>
      </c>
      <c r="Q16" s="188">
        <f>'kWh Combined'!U29</f>
        <v>115392.69699999999</v>
      </c>
      <c r="R16" s="188">
        <f>'kWh Combined'!V29</f>
        <v>116087.31300000002</v>
      </c>
      <c r="T16" s="37"/>
      <c r="U16" s="40"/>
    </row>
    <row r="17" spans="2:22" x14ac:dyDescent="0.25">
      <c r="B17" t="s">
        <v>117</v>
      </c>
      <c r="C17" s="35">
        <f>SUM('kWh Combined'!G30:G32)</f>
        <v>29477232</v>
      </c>
      <c r="D17" s="35">
        <f>SUM('kWh Combined'!H30:H32)</f>
        <v>28412746</v>
      </c>
      <c r="E17" s="35">
        <f>SUM('kWh Combined'!I30:I32)</f>
        <v>31630651</v>
      </c>
      <c r="F17" s="35">
        <f>SUM('kWh Combined'!J30:J32)</f>
        <v>32306982</v>
      </c>
      <c r="G17" s="35">
        <f>SUM('kWh Combined'!K30:K32)</f>
        <v>32133822</v>
      </c>
      <c r="H17" s="35">
        <f>SUM('kWh Combined'!L30:L32)</f>
        <v>31398584</v>
      </c>
      <c r="I17" s="35">
        <f>SUM('kWh Combined'!M30:M32)</f>
        <v>26840133</v>
      </c>
      <c r="J17" s="35">
        <f>SUM('kWh Combined'!N30:N32)</f>
        <v>24350174</v>
      </c>
      <c r="K17" s="35">
        <f>SUM('kWh Combined'!O30:O32)</f>
        <v>25931735</v>
      </c>
      <c r="L17" s="35">
        <f>SUM('kWh Combined'!P30:P32)</f>
        <v>30368977</v>
      </c>
      <c r="M17" s="35">
        <f>SUM('kWh Combined'!Q30:Q32)</f>
        <v>32091413</v>
      </c>
      <c r="N17" s="35">
        <f>SUM('kWh Combined'!R30:R32)</f>
        <v>31991752</v>
      </c>
      <c r="O17" s="188">
        <f>SUM('kWh Combined'!S30:S32)</f>
        <v>27510097</v>
      </c>
      <c r="P17" s="188">
        <f>SUM('kWh Combined'!T30:T32)</f>
        <v>26663459</v>
      </c>
      <c r="Q17" s="188">
        <f>SUM('kWh Combined'!U30:U32)</f>
        <v>31244263</v>
      </c>
      <c r="R17" s="188">
        <f>SUM('kWh Combined'!V30:V32)</f>
        <v>30892608</v>
      </c>
      <c r="T17" s="37"/>
      <c r="U17" s="40"/>
    </row>
    <row r="18" spans="2:22" x14ac:dyDescent="0.25">
      <c r="T18" s="37"/>
      <c r="U18" s="40"/>
    </row>
    <row r="19" spans="2:22" x14ac:dyDescent="0.25">
      <c r="B19" t="s">
        <v>118</v>
      </c>
      <c r="C19" s="35">
        <f>C17/C16</f>
        <v>299.46444572678104</v>
      </c>
      <c r="D19" s="35">
        <f t="shared" ref="D19:N19" si="4">D17/D16</f>
        <v>266.56176475091485</v>
      </c>
      <c r="E19" s="35">
        <f t="shared" si="4"/>
        <v>277.47097334393061</v>
      </c>
      <c r="F19" s="35">
        <f t="shared" si="4"/>
        <v>281.61722348083828</v>
      </c>
      <c r="G19" s="35">
        <f t="shared" si="4"/>
        <v>269.00595937642612</v>
      </c>
      <c r="H19" s="35">
        <f t="shared" si="4"/>
        <v>275.48262762863186</v>
      </c>
      <c r="I19" s="35">
        <f t="shared" si="4"/>
        <v>246.1506389874763</v>
      </c>
      <c r="J19" s="35">
        <f t="shared" si="4"/>
        <v>271.12194972588765</v>
      </c>
      <c r="K19" s="35">
        <f t="shared" si="4"/>
        <v>293.36668099915346</v>
      </c>
      <c r="L19" s="35">
        <f t="shared" si="4"/>
        <v>330.72083747914451</v>
      </c>
      <c r="M19" s="35">
        <f t="shared" si="4"/>
        <v>329.1764726300737</v>
      </c>
      <c r="N19" s="35">
        <f t="shared" si="4"/>
        <v>331.54820105362307</v>
      </c>
      <c r="O19" s="188">
        <f t="shared" ref="O19:R19" si="5">O17/O16</f>
        <v>280.7686673967919</v>
      </c>
      <c r="P19" s="188">
        <f t="shared" si="5"/>
        <v>246.73061651046447</v>
      </c>
      <c r="Q19" s="188">
        <f t="shared" si="5"/>
        <v>270.76464813020192</v>
      </c>
      <c r="R19" s="188">
        <f t="shared" si="5"/>
        <v>266.11528169318547</v>
      </c>
      <c r="T19" s="37"/>
      <c r="U19" s="40"/>
    </row>
    <row r="20" spans="2:22" x14ac:dyDescent="0.25">
      <c r="T20" s="37"/>
      <c r="U20" s="40"/>
    </row>
    <row r="21" spans="2:22" x14ac:dyDescent="0.25">
      <c r="B21" t="s">
        <v>119</v>
      </c>
      <c r="C21" s="35">
        <f>(C10/C19)*1000</f>
        <v>98433.160999999993</v>
      </c>
      <c r="D21" s="35">
        <f t="shared" ref="D21:N21" si="6">(D10/D19)*1000</f>
        <v>106589.72799999999</v>
      </c>
      <c r="E21" s="35">
        <f t="shared" si="6"/>
        <v>113996.25200000001</v>
      </c>
      <c r="F21" s="35">
        <f t="shared" si="6"/>
        <v>114719.48199999999</v>
      </c>
      <c r="G21" s="35">
        <f t="shared" si="6"/>
        <v>119453.94099999999</v>
      </c>
      <c r="H21" s="35">
        <f t="shared" si="6"/>
        <v>113976.639</v>
      </c>
      <c r="I21" s="35">
        <f t="shared" si="6"/>
        <v>109039.461</v>
      </c>
      <c r="J21" s="35">
        <f t="shared" si="6"/>
        <v>89812.625</v>
      </c>
      <c r="K21" s="35">
        <f t="shared" si="6"/>
        <v>88393.592999999979</v>
      </c>
      <c r="L21" s="35">
        <f t="shared" si="6"/>
        <v>91826.620999999999</v>
      </c>
      <c r="M21" s="35">
        <f t="shared" si="6"/>
        <v>97489.996000000014</v>
      </c>
      <c r="N21" s="35">
        <f t="shared" si="6"/>
        <v>96492.008999999976</v>
      </c>
      <c r="O21" s="188">
        <f t="shared" ref="O21:R21" si="7">(O10/O19)*1000</f>
        <v>97981.364000000016</v>
      </c>
      <c r="P21" s="188">
        <f t="shared" si="7"/>
        <v>108067.08699999998</v>
      </c>
      <c r="Q21" s="188">
        <f t="shared" si="7"/>
        <v>115392.69699999997</v>
      </c>
      <c r="R21" s="188">
        <f t="shared" si="7"/>
        <v>116087.31300000004</v>
      </c>
      <c r="T21" s="37"/>
      <c r="U21" s="40"/>
    </row>
    <row r="22" spans="2:22" x14ac:dyDescent="0.25">
      <c r="T22" s="37"/>
      <c r="U22" s="40"/>
    </row>
    <row r="23" spans="2:22" x14ac:dyDescent="0.25">
      <c r="C23">
        <f>'kWh Combined'!G30/TEB!C17</f>
        <v>0.4753519258524681</v>
      </c>
      <c r="D23">
        <f>'kWh Combined'!H30/TEB!D17</f>
        <v>0.53474887643735669</v>
      </c>
      <c r="E23">
        <f>'kWh Combined'!I30/TEB!E17</f>
        <v>0.51915109176855068</v>
      </c>
      <c r="F23">
        <f>'kWh Combined'!J30/TEB!F17</f>
        <v>0.50899118339187488</v>
      </c>
      <c r="G23">
        <f>'kWh Combined'!K30/TEB!G17</f>
        <v>0.5209833738420534</v>
      </c>
      <c r="H23">
        <f>'kWh Combined'!L30/TEB!H17</f>
        <v>0.54130972912663833</v>
      </c>
      <c r="I23">
        <f>'kWh Combined'!M30/TEB!I17</f>
        <v>0.56627938468114147</v>
      </c>
      <c r="J23">
        <f>'kWh Combined'!N30/TEB!J17</f>
        <v>0.51733420878224523</v>
      </c>
      <c r="K23">
        <f>'kWh Combined'!O30/TEB!K17</f>
        <v>0.48767955557158055</v>
      </c>
      <c r="L23">
        <f>'kWh Combined'!P30/TEB!L17</f>
        <v>0.43872353685143889</v>
      </c>
      <c r="M23">
        <f>'kWh Combined'!Q30/TEB!M17</f>
        <v>0.44502153893940416</v>
      </c>
      <c r="N23">
        <f>'kWh Combined'!R30/TEB!N17</f>
        <v>0.43845841890747339</v>
      </c>
      <c r="O23" s="187">
        <f>'kWh Combined'!S30/TEB!O17</f>
        <v>0.50265729706441964</v>
      </c>
      <c r="P23" s="187">
        <f>'kWh Combined'!T30/TEB!P17</f>
        <v>0.57775365904326215</v>
      </c>
      <c r="Q23" s="187">
        <f>'kWh Combined'!U30/TEB!Q17</f>
        <v>0.52488538455843881</v>
      </c>
      <c r="R23" s="187">
        <f>'kWh Combined'!V30/TEB!R17</f>
        <v>0.51418391092134408</v>
      </c>
      <c r="T23" s="37"/>
      <c r="U23" s="40"/>
    </row>
    <row r="24" spans="2:22" x14ac:dyDescent="0.25">
      <c r="C24">
        <f>'kWh Combined'!G31/TEB!C$17</f>
        <v>0.4091740024979279</v>
      </c>
      <c r="D24">
        <f>'kWh Combined'!H31/TEB!D$17</f>
        <v>0.38963850942108869</v>
      </c>
      <c r="E24">
        <f>'kWh Combined'!I31/TEB!E$17</f>
        <v>0.40372321138758732</v>
      </c>
      <c r="F24">
        <f>'kWh Combined'!J31/TEB!F$17</f>
        <v>0.40154434728691152</v>
      </c>
      <c r="G24">
        <f>'kWh Combined'!K31/TEB!G$17</f>
        <v>0.41290382451237828</v>
      </c>
      <c r="H24">
        <f>'kWh Combined'!L31/TEB!H$17</f>
        <v>0.39700634270640994</v>
      </c>
      <c r="I24">
        <f>'kWh Combined'!M31/TEB!I$17</f>
        <v>0.36280412619415858</v>
      </c>
      <c r="J24">
        <f>'kWh Combined'!N31/TEB!J$17</f>
        <v>0.37839216261863262</v>
      </c>
      <c r="K24">
        <f>'kWh Combined'!O31/TEB!K$17</f>
        <v>0.40607865227683376</v>
      </c>
      <c r="L24">
        <f>'kWh Combined'!P31/TEB!L$17</f>
        <v>0.4327096365478495</v>
      </c>
      <c r="M24">
        <f>'kWh Combined'!Q31/TEB!M$17</f>
        <v>0.43530373685945212</v>
      </c>
      <c r="N24">
        <f>'kWh Combined'!R31/TEB!N$17</f>
        <v>0.42803532610530365</v>
      </c>
      <c r="O24" s="187">
        <f>'kWh Combined'!S31/TEB!O$17</f>
        <v>0.41425379198044993</v>
      </c>
      <c r="P24" s="187">
        <f>'kWh Combined'!T31/TEB!P$17</f>
        <v>0.3632953623909036</v>
      </c>
      <c r="Q24" s="187">
        <f>'kWh Combined'!U31/TEB!Q$17</f>
        <v>0.38770826503412803</v>
      </c>
      <c r="R24" s="187">
        <f>'kWh Combined'!V31/TEB!R$17</f>
        <v>0.38023439134695264</v>
      </c>
      <c r="T24" s="37"/>
      <c r="U24" s="40"/>
    </row>
    <row r="25" spans="2:22" x14ac:dyDescent="0.25">
      <c r="C25">
        <f>'kWh Combined'!G32/TEB!C$17</f>
        <v>0.11547407164960401</v>
      </c>
      <c r="D25">
        <f>'kWh Combined'!H32/TEB!D$17</f>
        <v>7.5612614141554638E-2</v>
      </c>
      <c r="E25">
        <f>'kWh Combined'!I32/TEB!E$17</f>
        <v>7.7125696843861988E-2</v>
      </c>
      <c r="F25">
        <f>'kWh Combined'!J32/TEB!F$17</f>
        <v>8.9464469321213602E-2</v>
      </c>
      <c r="G25">
        <f>'kWh Combined'!K32/TEB!G$17</f>
        <v>6.6112801645568334E-2</v>
      </c>
      <c r="H25">
        <f>'kWh Combined'!L32/TEB!H$17</f>
        <v>6.1683928166951729E-2</v>
      </c>
      <c r="I25">
        <f>'kWh Combined'!M32/TEB!I$17</f>
        <v>7.0916489124699944E-2</v>
      </c>
      <c r="J25">
        <f>'kWh Combined'!N32/TEB!J$17</f>
        <v>0.10427362859912212</v>
      </c>
      <c r="K25">
        <f>'kWh Combined'!O32/TEB!K$17</f>
        <v>0.10624179215158569</v>
      </c>
      <c r="L25">
        <f>'kWh Combined'!P32/TEB!L$17</f>
        <v>0.12856682660071164</v>
      </c>
      <c r="M25">
        <f>'kWh Combined'!Q32/TEB!M$17</f>
        <v>0.11967472420114378</v>
      </c>
      <c r="N25">
        <f>'kWh Combined'!R32/TEB!N$17</f>
        <v>0.13350625498722296</v>
      </c>
      <c r="O25" s="187">
        <f>'kWh Combined'!S32/TEB!O$17</f>
        <v>8.3088910955130407E-2</v>
      </c>
      <c r="P25" s="187">
        <f>'kWh Combined'!T32/TEB!P$17</f>
        <v>5.8950978565834235E-2</v>
      </c>
      <c r="Q25" s="187">
        <f>'kWh Combined'!U32/TEB!Q$17</f>
        <v>8.7406350407433192E-2</v>
      </c>
      <c r="R25" s="187">
        <f>'kWh Combined'!V32/TEB!R$17</f>
        <v>0.10558169773170333</v>
      </c>
      <c r="T25" s="37"/>
      <c r="U25" s="40"/>
    </row>
    <row r="26" spans="2:22" x14ac:dyDescent="0.25">
      <c r="T26" s="37"/>
      <c r="U26" s="40"/>
    </row>
    <row r="27" spans="2:22" x14ac:dyDescent="0.25">
      <c r="B27" t="s">
        <v>120</v>
      </c>
      <c r="C27" s="35">
        <f>C$10*C23*1000</f>
        <v>14012059</v>
      </c>
      <c r="D27" s="35">
        <f t="shared" ref="D27:N27" si="8">D$10*D23*1000</f>
        <v>15193684</v>
      </c>
      <c r="E27" s="35">
        <f t="shared" si="8"/>
        <v>16421087</v>
      </c>
      <c r="F27" s="35">
        <f t="shared" si="8"/>
        <v>16443969.000000002</v>
      </c>
      <c r="G27" s="35">
        <f t="shared" si="8"/>
        <v>16741187.000000002</v>
      </c>
      <c r="H27" s="35">
        <f t="shared" si="8"/>
        <v>16996359</v>
      </c>
      <c r="I27" s="35">
        <f t="shared" si="8"/>
        <v>15199014.000000002</v>
      </c>
      <c r="J27" s="35">
        <f t="shared" si="8"/>
        <v>12597178</v>
      </c>
      <c r="K27" s="35">
        <f t="shared" si="8"/>
        <v>12646377</v>
      </c>
      <c r="L27" s="35">
        <f t="shared" si="8"/>
        <v>13323585</v>
      </c>
      <c r="M27" s="35">
        <f t="shared" si="8"/>
        <v>14281370</v>
      </c>
      <c r="N27" s="35">
        <f t="shared" si="8"/>
        <v>14027053</v>
      </c>
      <c r="O27" s="188">
        <f t="shared" ref="O27:R27" si="9">O$10*O23*1000</f>
        <v>13828151</v>
      </c>
      <c r="P27" s="188">
        <f t="shared" si="9"/>
        <v>15404910.999999998</v>
      </c>
      <c r="Q27" s="188">
        <f t="shared" si="9"/>
        <v>16399657</v>
      </c>
      <c r="R27" s="188">
        <f t="shared" si="9"/>
        <v>15884482.000000002</v>
      </c>
      <c r="T27" s="37"/>
      <c r="U27" s="40"/>
    </row>
    <row r="28" spans="2:22" x14ac:dyDescent="0.25">
      <c r="B28" t="s">
        <v>121</v>
      </c>
      <c r="C28" s="35">
        <f t="shared" ref="C28:N29" si="10">C$10*C24*1000</f>
        <v>12061317</v>
      </c>
      <c r="D28" s="35">
        <f t="shared" si="10"/>
        <v>11070699.999999998</v>
      </c>
      <c r="E28" s="35">
        <f t="shared" si="10"/>
        <v>12770028</v>
      </c>
      <c r="F28" s="35">
        <f t="shared" si="10"/>
        <v>12972686</v>
      </c>
      <c r="G28" s="35">
        <f t="shared" si="10"/>
        <v>13268178</v>
      </c>
      <c r="H28" s="35">
        <f t="shared" si="10"/>
        <v>12465437</v>
      </c>
      <c r="I28" s="35">
        <f t="shared" si="10"/>
        <v>9737711.0000000019</v>
      </c>
      <c r="J28" s="35">
        <f t="shared" si="10"/>
        <v>9213914.9999999981</v>
      </c>
      <c r="K28" s="35">
        <f t="shared" si="10"/>
        <v>10530324</v>
      </c>
      <c r="L28" s="35">
        <f t="shared" si="10"/>
        <v>13140949</v>
      </c>
      <c r="M28" s="35">
        <f t="shared" si="10"/>
        <v>13969512</v>
      </c>
      <c r="N28" s="35">
        <f t="shared" si="10"/>
        <v>13693600</v>
      </c>
      <c r="O28" s="188">
        <f t="shared" ref="O28:R28" si="11">O$10*O24*1000</f>
        <v>11396162</v>
      </c>
      <c r="P28" s="188">
        <f t="shared" si="11"/>
        <v>9686711</v>
      </c>
      <c r="Q28" s="188">
        <f t="shared" si="11"/>
        <v>12113659</v>
      </c>
      <c r="R28" s="188">
        <f t="shared" si="11"/>
        <v>11746432</v>
      </c>
      <c r="T28" s="37"/>
      <c r="U28" s="40"/>
    </row>
    <row r="29" spans="2:22" x14ac:dyDescent="0.25">
      <c r="B29" t="s">
        <v>122</v>
      </c>
      <c r="C29" s="35">
        <f t="shared" si="10"/>
        <v>3403856</v>
      </c>
      <c r="D29" s="35">
        <f t="shared" si="10"/>
        <v>2148362</v>
      </c>
      <c r="E29" s="35">
        <f t="shared" si="10"/>
        <v>2439536</v>
      </c>
      <c r="F29" s="35">
        <f t="shared" si="10"/>
        <v>2890327</v>
      </c>
      <c r="G29" s="35">
        <f t="shared" si="10"/>
        <v>2124457</v>
      </c>
      <c r="H29" s="35">
        <f t="shared" si="10"/>
        <v>1936787.9999999998</v>
      </c>
      <c r="I29" s="35">
        <f t="shared" si="10"/>
        <v>1903408.0000000002</v>
      </c>
      <c r="J29" s="35">
        <f t="shared" si="10"/>
        <v>2539080.9999999995</v>
      </c>
      <c r="K29" s="35">
        <f t="shared" si="10"/>
        <v>2755034</v>
      </c>
      <c r="L29" s="35">
        <f t="shared" si="10"/>
        <v>3904442.9999999995</v>
      </c>
      <c r="M29" s="35">
        <f t="shared" si="10"/>
        <v>3840531</v>
      </c>
      <c r="N29" s="35">
        <f t="shared" si="10"/>
        <v>4271099</v>
      </c>
      <c r="O29" s="188">
        <f t="shared" ref="O29:R29" si="12">O$10*O25*1000</f>
        <v>2285784</v>
      </c>
      <c r="P29" s="188">
        <f t="shared" si="12"/>
        <v>1571836.9999999998</v>
      </c>
      <c r="Q29" s="188">
        <f t="shared" si="12"/>
        <v>2730946.9999999995</v>
      </c>
      <c r="R29" s="188">
        <f t="shared" si="12"/>
        <v>3261694</v>
      </c>
      <c r="T29" s="37"/>
      <c r="U29" s="40"/>
    </row>
    <row r="30" spans="2:22" x14ac:dyDescent="0.25">
      <c r="T30" s="37"/>
      <c r="U30" s="40"/>
    </row>
    <row r="31" spans="2:22" x14ac:dyDescent="0.25">
      <c r="B31" t="s">
        <v>123</v>
      </c>
      <c r="C31" s="119">
        <f>C21*C$14</f>
        <v>-4985.7870962721991</v>
      </c>
      <c r="D31" s="119">
        <f t="shared" ref="D31:N31" si="13">D21*D$14</f>
        <v>-7468.9891960972727</v>
      </c>
      <c r="E31" s="119">
        <f t="shared" si="13"/>
        <v>-3412.844423479592</v>
      </c>
      <c r="F31" s="119">
        <f t="shared" si="13"/>
        <v>3724.7113783610266</v>
      </c>
      <c r="G31" s="119">
        <f t="shared" si="13"/>
        <v>2405.0887079309946</v>
      </c>
      <c r="H31" s="119">
        <f t="shared" si="13"/>
        <v>-3432.3384093528707</v>
      </c>
      <c r="I31" s="119">
        <f t="shared" si="13"/>
        <v>-813.87211398911904</v>
      </c>
      <c r="J31" s="119">
        <f t="shared" si="13"/>
        <v>517.88680235113168</v>
      </c>
      <c r="K31" s="119">
        <f t="shared" si="13"/>
        <v>26.110525120305528</v>
      </c>
      <c r="L31" s="119">
        <f t="shared" si="13"/>
        <v>1987.6505604923955</v>
      </c>
      <c r="M31" s="119">
        <f t="shared" si="13"/>
        <v>1573.9932540740635</v>
      </c>
      <c r="N31" s="119">
        <f t="shared" si="13"/>
        <v>-4255.9730378795502</v>
      </c>
      <c r="O31" s="119">
        <f t="shared" ref="O31:R31" si="14">O21*O$14</f>
        <v>2112.5953753319204</v>
      </c>
      <c r="P31" s="119">
        <f t="shared" si="14"/>
        <v>-979.44853555276654</v>
      </c>
      <c r="Q31" s="119">
        <f t="shared" si="14"/>
        <v>-2669.3041277074763</v>
      </c>
      <c r="R31" s="119">
        <f t="shared" si="14"/>
        <v>8197.7067473246007</v>
      </c>
      <c r="T31" s="178">
        <f>SUM(K31:N31)</f>
        <v>-668.21869819278572</v>
      </c>
      <c r="U31" s="179">
        <f>SUM(G31:J31,O31:R31)</f>
        <v>5338.3144463364151</v>
      </c>
      <c r="V31">
        <f>T31+U31</f>
        <v>4670.095748143629</v>
      </c>
    </row>
    <row r="32" spans="2:22" x14ac:dyDescent="0.25">
      <c r="T32" s="37"/>
      <c r="U32" s="40"/>
    </row>
    <row r="33" spans="2:22" x14ac:dyDescent="0.25">
      <c r="B33" t="s">
        <v>124</v>
      </c>
      <c r="C33" s="35">
        <f>C27*C$14</f>
        <v>-709731.78393005929</v>
      </c>
      <c r="D33" s="35">
        <f t="shared" ref="D33:N33" si="15">D27*D$14</f>
        <v>-1064656.6397553431</v>
      </c>
      <c r="E33" s="35">
        <f t="shared" si="15"/>
        <v>-491618.05070067756</v>
      </c>
      <c r="F33" s="35">
        <f t="shared" si="15"/>
        <v>533902.67609224387</v>
      </c>
      <c r="G33" s="35">
        <f t="shared" si="15"/>
        <v>337067.48788691004</v>
      </c>
      <c r="H33" s="35">
        <f t="shared" si="15"/>
        <v>-511835.19997330639</v>
      </c>
      <c r="I33" s="35">
        <f t="shared" si="15"/>
        <v>-113445.66032594584</v>
      </c>
      <c r="J33" s="35">
        <f t="shared" si="15"/>
        <v>72639.144363813262</v>
      </c>
      <c r="K33" s="35">
        <f t="shared" si="15"/>
        <v>3735.6049588272099</v>
      </c>
      <c r="L33" s="35">
        <f t="shared" si="15"/>
        <v>288398.18894150615</v>
      </c>
      <c r="M33" s="35">
        <f t="shared" si="15"/>
        <v>230575.24834584777</v>
      </c>
      <c r="N33" s="35">
        <f t="shared" si="15"/>
        <v>-618691.22622275876</v>
      </c>
      <c r="O33" s="188">
        <f t="shared" ref="O33:R33" si="16">O27*O$14</f>
        <v>298151.47145728103</v>
      </c>
      <c r="P33" s="188">
        <f t="shared" si="16"/>
        <v>-139619.9151668695</v>
      </c>
      <c r="Q33" s="188">
        <f t="shared" si="16"/>
        <v>-379362.58759154245</v>
      </c>
      <c r="R33" s="188">
        <f t="shared" si="16"/>
        <v>1121710.2188346467</v>
      </c>
      <c r="T33" s="178">
        <f t="shared" ref="T33:T35" si="17">SUM(K33:N33)</f>
        <v>-95982.183976577653</v>
      </c>
      <c r="U33" s="179">
        <f>SUM(G33:J33,O33:R33)</f>
        <v>685304.95948498696</v>
      </c>
      <c r="V33">
        <f>T33+U33</f>
        <v>589322.77550840937</v>
      </c>
    </row>
    <row r="34" spans="2:22" x14ac:dyDescent="0.25">
      <c r="B34" t="s">
        <v>125</v>
      </c>
      <c r="C34" s="35">
        <f t="shared" ref="C34:N35" si="18">C28*C$14</f>
        <v>-610923.77865065727</v>
      </c>
      <c r="D34" s="35">
        <f t="shared" si="18"/>
        <v>-775749.59843442019</v>
      </c>
      <c r="E34" s="35">
        <f t="shared" si="18"/>
        <v>-382311.85747649177</v>
      </c>
      <c r="F34" s="35">
        <f t="shared" si="18"/>
        <v>421197.08274227387</v>
      </c>
      <c r="G34" s="35">
        <f t="shared" si="18"/>
        <v>267141.83571907808</v>
      </c>
      <c r="H34" s="35">
        <f t="shared" si="18"/>
        <v>-375389.19009945908</v>
      </c>
      <c r="I34" s="35">
        <f t="shared" si="18"/>
        <v>-72682.415744746759</v>
      </c>
      <c r="J34" s="35">
        <f t="shared" si="18"/>
        <v>53130.225026661079</v>
      </c>
      <c r="K34" s="35">
        <f t="shared" si="18"/>
        <v>3110.5454591822763</v>
      </c>
      <c r="L34" s="35">
        <f t="shared" si="18"/>
        <v>284444.90672538179</v>
      </c>
      <c r="M34" s="35">
        <f t="shared" si="18"/>
        <v>225540.2456956371</v>
      </c>
      <c r="N34" s="35">
        <f t="shared" si="18"/>
        <v>-603983.61476241448</v>
      </c>
      <c r="O34" s="188">
        <f t="shared" ref="O34:R34" si="19">O28*O$14</f>
        <v>245714.88041066017</v>
      </c>
      <c r="P34" s="188">
        <f t="shared" si="19"/>
        <v>-87793.93584721013</v>
      </c>
      <c r="Q34" s="188">
        <f t="shared" si="19"/>
        <v>-280217.38646372763</v>
      </c>
      <c r="R34" s="188">
        <f t="shared" si="19"/>
        <v>829494.64825143781</v>
      </c>
      <c r="T34" s="178">
        <f t="shared" si="17"/>
        <v>-90887.916882213322</v>
      </c>
      <c r="U34" s="179">
        <f>SUM(G34:J34,O34:R34)</f>
        <v>579398.66125269351</v>
      </c>
      <c r="V34">
        <f>T34+U34</f>
        <v>488510.74437048018</v>
      </c>
    </row>
    <row r="35" spans="2:22" x14ac:dyDescent="0.25">
      <c r="B35" t="s">
        <v>126</v>
      </c>
      <c r="C35" s="35">
        <f t="shared" si="18"/>
        <v>-172410.40671617468</v>
      </c>
      <c r="D35" s="35">
        <f t="shared" si="18"/>
        <v>-150540.70282744252</v>
      </c>
      <c r="E35" s="35">
        <f t="shared" si="18"/>
        <v>-73035.355877118738</v>
      </c>
      <c r="F35" s="35">
        <f t="shared" si="18"/>
        <v>93843.117807000672</v>
      </c>
      <c r="G35" s="35">
        <f t="shared" si="18"/>
        <v>42773.871656398151</v>
      </c>
      <c r="H35" s="35">
        <f t="shared" si="18"/>
        <v>-58325.213846442057</v>
      </c>
      <c r="I35" s="35">
        <f t="shared" si="18"/>
        <v>-14207.064841817233</v>
      </c>
      <c r="J35" s="35">
        <f t="shared" si="18"/>
        <v>14641.110200269879</v>
      </c>
      <c r="K35" s="35">
        <f t="shared" si="18"/>
        <v>813.80767567956923</v>
      </c>
      <c r="L35" s="35">
        <f t="shared" si="18"/>
        <v>84514.362315048158</v>
      </c>
      <c r="M35" s="35">
        <f t="shared" si="18"/>
        <v>62006.053278146785</v>
      </c>
      <c r="N35" s="35">
        <f t="shared" si="18"/>
        <v>-188385.36345651498</v>
      </c>
      <c r="O35" s="188">
        <f t="shared" ref="O35:R35" si="20">O29*O$14</f>
        <v>49284.236412627382</v>
      </c>
      <c r="P35" s="188">
        <f t="shared" si="20"/>
        <v>-14246.090003126057</v>
      </c>
      <c r="Q35" s="188">
        <f t="shared" si="20"/>
        <v>-63173.218835940279</v>
      </c>
      <c r="R35" s="188">
        <f t="shared" si="20"/>
        <v>230330.17321632861</v>
      </c>
      <c r="T35" s="178">
        <f t="shared" si="17"/>
        <v>-41051.140187640471</v>
      </c>
      <c r="U35" s="179">
        <f>SUM(G35:J35,O35:R35)</f>
        <v>187077.80395829841</v>
      </c>
      <c r="V35">
        <f>T35+U35</f>
        <v>146026.66377065793</v>
      </c>
    </row>
    <row r="36" spans="2:22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188"/>
      <c r="P36" s="188"/>
      <c r="Q36" s="188"/>
      <c r="R36" s="188"/>
      <c r="T36" s="37"/>
      <c r="U36" s="40"/>
    </row>
    <row r="37" spans="2:22" x14ac:dyDescent="0.25">
      <c r="B37" t="s">
        <v>127</v>
      </c>
      <c r="C37" s="35">
        <f>C31+C21</f>
        <v>93447.373903727799</v>
      </c>
      <c r="D37" s="35">
        <f t="shared" ref="D37:N37" si="21">D31+D21</f>
        <v>99120.738803902714</v>
      </c>
      <c r="E37" s="35">
        <f t="shared" si="21"/>
        <v>110583.40757652042</v>
      </c>
      <c r="F37" s="35">
        <f t="shared" si="21"/>
        <v>118444.19337836101</v>
      </c>
      <c r="G37" s="35">
        <f t="shared" si="21"/>
        <v>121859.02970793098</v>
      </c>
      <c r="H37" s="35">
        <f t="shared" si="21"/>
        <v>110544.30059064712</v>
      </c>
      <c r="I37" s="35">
        <f t="shared" si="21"/>
        <v>108225.58888601088</v>
      </c>
      <c r="J37" s="35">
        <f t="shared" si="21"/>
        <v>90330.511802351131</v>
      </c>
      <c r="K37" s="35">
        <f t="shared" si="21"/>
        <v>88419.703525120291</v>
      </c>
      <c r="L37" s="35">
        <f t="shared" si="21"/>
        <v>93814.271560492401</v>
      </c>
      <c r="M37" s="35">
        <f t="shared" si="21"/>
        <v>99063.989254074084</v>
      </c>
      <c r="N37" s="35">
        <f t="shared" si="21"/>
        <v>92236.035962120426</v>
      </c>
      <c r="O37" s="188">
        <f t="shared" ref="O37:R37" si="22">O31+O21</f>
        <v>100093.95937533194</v>
      </c>
      <c r="P37" s="188">
        <f t="shared" si="22"/>
        <v>107087.63846444721</v>
      </c>
      <c r="Q37" s="188">
        <f t="shared" si="22"/>
        <v>112723.39287229249</v>
      </c>
      <c r="R37" s="188">
        <f t="shared" si="22"/>
        <v>124285.01974732464</v>
      </c>
      <c r="T37" s="37"/>
      <c r="U37" s="40"/>
    </row>
    <row r="38" spans="2:22" x14ac:dyDescent="0.25">
      <c r="T38" s="37"/>
      <c r="U38" s="40"/>
    </row>
    <row r="39" spans="2:22" x14ac:dyDescent="0.25">
      <c r="B39" t="s">
        <v>128</v>
      </c>
      <c r="C39" s="35">
        <f>C33+C27</f>
        <v>13302327.21606994</v>
      </c>
      <c r="D39" s="35">
        <f t="shared" ref="D39:N39" si="23">D33+D27</f>
        <v>14129027.360244658</v>
      </c>
      <c r="E39" s="35">
        <f t="shared" si="23"/>
        <v>15929468.949299322</v>
      </c>
      <c r="F39" s="35">
        <f t="shared" si="23"/>
        <v>16977871.676092245</v>
      </c>
      <c r="G39" s="35">
        <f t="shared" si="23"/>
        <v>17078254.487886913</v>
      </c>
      <c r="H39" s="35">
        <f t="shared" si="23"/>
        <v>16484523.800026694</v>
      </c>
      <c r="I39" s="35">
        <f t="shared" si="23"/>
        <v>15085568.339674056</v>
      </c>
      <c r="J39" s="35">
        <f t="shared" si="23"/>
        <v>12669817.144363813</v>
      </c>
      <c r="K39" s="35">
        <f t="shared" si="23"/>
        <v>12650112.604958827</v>
      </c>
      <c r="L39" s="35">
        <f t="shared" si="23"/>
        <v>13611983.188941507</v>
      </c>
      <c r="M39" s="35">
        <f t="shared" si="23"/>
        <v>14511945.248345848</v>
      </c>
      <c r="N39" s="35">
        <f t="shared" si="23"/>
        <v>13408361.773777241</v>
      </c>
      <c r="O39" s="188">
        <f t="shared" ref="O39:R39" si="24">O33+O27</f>
        <v>14126302.47145728</v>
      </c>
      <c r="P39" s="188">
        <f t="shared" si="24"/>
        <v>15265291.084833128</v>
      </c>
      <c r="Q39" s="188">
        <f t="shared" si="24"/>
        <v>16020294.412408458</v>
      </c>
      <c r="R39" s="188">
        <f t="shared" si="24"/>
        <v>17006192.21883465</v>
      </c>
      <c r="T39" s="37"/>
      <c r="U39" s="40"/>
    </row>
    <row r="40" spans="2:22" x14ac:dyDescent="0.25">
      <c r="B40" t="s">
        <v>129</v>
      </c>
      <c r="C40" s="35">
        <f t="shared" ref="C40:N41" si="25">C34+C28</f>
        <v>11450393.221349344</v>
      </c>
      <c r="D40" s="35">
        <f t="shared" si="25"/>
        <v>10294950.401565578</v>
      </c>
      <c r="E40" s="35">
        <f>E34+E28</f>
        <v>12387716.142523509</v>
      </c>
      <c r="F40" s="35">
        <f t="shared" si="25"/>
        <v>13393883.082742274</v>
      </c>
      <c r="G40" s="35">
        <f t="shared" si="25"/>
        <v>13535319.835719079</v>
      </c>
      <c r="H40" s="35">
        <f t="shared" si="25"/>
        <v>12090047.809900541</v>
      </c>
      <c r="I40" s="35">
        <f t="shared" si="25"/>
        <v>9665028.5842552558</v>
      </c>
      <c r="J40" s="35">
        <f t="shared" si="25"/>
        <v>9267045.2250266597</v>
      </c>
      <c r="K40" s="35">
        <f t="shared" si="25"/>
        <v>10533434.545459183</v>
      </c>
      <c r="L40" s="35">
        <f t="shared" si="25"/>
        <v>13425393.906725382</v>
      </c>
      <c r="M40" s="35">
        <f t="shared" si="25"/>
        <v>14195052.245695638</v>
      </c>
      <c r="N40" s="35">
        <f t="shared" si="25"/>
        <v>13089616.385237586</v>
      </c>
      <c r="O40" s="188">
        <f t="shared" ref="O40:R40" si="26">O34+O28</f>
        <v>11641876.88041066</v>
      </c>
      <c r="P40" s="188">
        <f t="shared" si="26"/>
        <v>9598917.0641527902</v>
      </c>
      <c r="Q40" s="188">
        <f t="shared" si="26"/>
        <v>11833441.613536272</v>
      </c>
      <c r="R40" s="188">
        <f t="shared" si="26"/>
        <v>12575926.648251439</v>
      </c>
      <c r="T40" s="37"/>
      <c r="U40" s="40"/>
    </row>
    <row r="41" spans="2:22" x14ac:dyDescent="0.25">
      <c r="B41" t="s">
        <v>130</v>
      </c>
      <c r="C41" s="35">
        <f t="shared" si="25"/>
        <v>3231445.5932838256</v>
      </c>
      <c r="D41" s="35">
        <f t="shared" si="25"/>
        <v>1997821.2971725576</v>
      </c>
      <c r="E41" s="35">
        <f t="shared" si="25"/>
        <v>2366500.6441228813</v>
      </c>
      <c r="F41" s="35">
        <f t="shared" si="25"/>
        <v>2984170.1178070009</v>
      </c>
      <c r="G41" s="35">
        <f t="shared" si="25"/>
        <v>2167230.8716563983</v>
      </c>
      <c r="H41" s="35">
        <f t="shared" si="25"/>
        <v>1878462.7861535577</v>
      </c>
      <c r="I41" s="35">
        <f t="shared" si="25"/>
        <v>1889200.9351581831</v>
      </c>
      <c r="J41" s="35">
        <f t="shared" si="25"/>
        <v>2553722.1102002696</v>
      </c>
      <c r="K41" s="35">
        <f t="shared" si="25"/>
        <v>2755847.8076756797</v>
      </c>
      <c r="L41" s="35">
        <f t="shared" si="25"/>
        <v>3988957.3623150475</v>
      </c>
      <c r="M41" s="35">
        <f t="shared" si="25"/>
        <v>3902537.0532781468</v>
      </c>
      <c r="N41" s="35">
        <f t="shared" si="25"/>
        <v>4082713.6365434849</v>
      </c>
      <c r="O41" s="188">
        <f t="shared" ref="O41:R41" si="27">O35+O29</f>
        <v>2335068.2364126272</v>
      </c>
      <c r="P41" s="188">
        <f t="shared" si="27"/>
        <v>1557590.9099968737</v>
      </c>
      <c r="Q41" s="188">
        <f t="shared" si="27"/>
        <v>2667773.7811640594</v>
      </c>
      <c r="R41" s="188">
        <f t="shared" si="27"/>
        <v>3492024.1732163285</v>
      </c>
      <c r="T41" s="37"/>
      <c r="U41" s="40"/>
    </row>
    <row r="42" spans="2:22" x14ac:dyDescent="0.25">
      <c r="T42" s="37"/>
      <c r="U42" s="40"/>
    </row>
    <row r="43" spans="2:22" x14ac:dyDescent="0.25">
      <c r="B43" t="s">
        <v>74</v>
      </c>
      <c r="G43" s="35">
        <f>(8/31)*SUM(G33:G35)</f>
        <v>166963.40522900294</v>
      </c>
      <c r="H43" s="35">
        <f>SUM(H33:H35)</f>
        <v>-945549.60391920758</v>
      </c>
      <c r="I43" s="35">
        <f t="shared" ref="I43:N43" si="28">SUM(I33:I35)</f>
        <v>-200335.14091250981</v>
      </c>
      <c r="J43" s="35">
        <f t="shared" si="28"/>
        <v>140410.47959074422</v>
      </c>
      <c r="K43" s="35">
        <f t="shared" si="28"/>
        <v>7659.9580936890552</v>
      </c>
      <c r="L43" s="35">
        <f>SUM(L33:L35)</f>
        <v>657357.45798193605</v>
      </c>
      <c r="M43" s="35">
        <f t="shared" si="28"/>
        <v>518121.54731963167</v>
      </c>
      <c r="N43" s="35">
        <f t="shared" si="28"/>
        <v>-1411060.2044416883</v>
      </c>
      <c r="O43" s="188">
        <f t="shared" ref="O43:R43" si="29">SUM(O33:O35)</f>
        <v>593150.5882805686</v>
      </c>
      <c r="P43" s="188">
        <f t="shared" si="29"/>
        <v>-241659.94101720571</v>
      </c>
      <c r="Q43" s="188">
        <f t="shared" si="29"/>
        <v>-722753.19289121032</v>
      </c>
      <c r="R43" s="188">
        <f t="shared" si="29"/>
        <v>2181535.0403024131</v>
      </c>
      <c r="T43" s="178">
        <f>SUM(K43:N43)</f>
        <v>-227921.24104643147</v>
      </c>
      <c r="U43" s="179">
        <f>SUM(G43:J43,O43:R43)</f>
        <v>971761.63466259558</v>
      </c>
      <c r="V43">
        <f>T43+U43</f>
        <v>743840.3936161641</v>
      </c>
    </row>
    <row r="44" spans="2:22" x14ac:dyDescent="0.25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188"/>
      <c r="P44" s="188"/>
      <c r="Q44" s="188"/>
      <c r="R44" s="188"/>
      <c r="T44" s="37"/>
      <c r="U44" s="40"/>
    </row>
    <row r="45" spans="2:22" x14ac:dyDescent="0.25">
      <c r="B45" t="s">
        <v>111</v>
      </c>
      <c r="C45" s="35">
        <f>'WN Summary'!C66</f>
        <v>940</v>
      </c>
      <c r="D45" s="35">
        <f>'WN Summary'!D66</f>
        <v>943</v>
      </c>
      <c r="E45" s="35">
        <f>'WN Summary'!E66</f>
        <v>946</v>
      </c>
      <c r="F45" s="35">
        <f>'WN Summary'!F66</f>
        <v>947</v>
      </c>
      <c r="G45" s="35">
        <f>'WN Summary'!G66</f>
        <v>946</v>
      </c>
      <c r="H45" s="35">
        <f>'WN Summary'!H66</f>
        <v>946</v>
      </c>
      <c r="I45" s="35">
        <f>'WN Summary'!I66</f>
        <v>946</v>
      </c>
      <c r="J45" s="35">
        <f>'WN Summary'!J66</f>
        <v>945</v>
      </c>
      <c r="K45" s="35">
        <f>'WN Summary'!K66</f>
        <v>943</v>
      </c>
      <c r="L45" s="35">
        <f>'WN Summary'!L66</f>
        <v>946</v>
      </c>
      <c r="M45" s="35">
        <f>'WN Summary'!M66</f>
        <v>946</v>
      </c>
      <c r="N45" s="35">
        <f>'WN Summary'!N66</f>
        <v>945</v>
      </c>
      <c r="O45" s="188">
        <f>'WN Summary'!O66</f>
        <v>944</v>
      </c>
      <c r="P45" s="188">
        <f>'WN Summary'!P66</f>
        <v>943</v>
      </c>
      <c r="Q45" s="188">
        <f>'WN Summary'!Q66</f>
        <v>941</v>
      </c>
      <c r="R45" s="188">
        <f>'WN Summary'!R66</f>
        <v>939</v>
      </c>
      <c r="T45" s="37"/>
      <c r="U45" s="40"/>
    </row>
    <row r="46" spans="2:22" x14ac:dyDescent="0.25">
      <c r="B46" t="s">
        <v>134</v>
      </c>
      <c r="C46" s="35">
        <f>SUM(C39:C41)/C45</f>
        <v>29770.389394365011</v>
      </c>
      <c r="D46" s="35">
        <f t="shared" ref="D46:N46" si="30">SUM(D39:D41)/D45</f>
        <v>28018.874929992358</v>
      </c>
      <c r="E46" s="35">
        <f t="shared" si="30"/>
        <v>32435.185767384475</v>
      </c>
      <c r="F46" s="35">
        <f t="shared" si="30"/>
        <v>35222.729542388086</v>
      </c>
      <c r="G46" s="35">
        <f t="shared" si="30"/>
        <v>34652.013948480329</v>
      </c>
      <c r="H46" s="35">
        <f t="shared" si="30"/>
        <v>32191.368283383505</v>
      </c>
      <c r="I46" s="35">
        <f t="shared" si="30"/>
        <v>28160.462853158027</v>
      </c>
      <c r="J46" s="35">
        <f t="shared" si="30"/>
        <v>25915.962412265337</v>
      </c>
      <c r="K46" s="35">
        <f t="shared" si="30"/>
        <v>27507.311726504442</v>
      </c>
      <c r="L46" s="35">
        <f t="shared" si="30"/>
        <v>32797.393718796971</v>
      </c>
      <c r="M46" s="35">
        <f t="shared" si="30"/>
        <v>34470.966751923508</v>
      </c>
      <c r="N46" s="35">
        <f t="shared" si="30"/>
        <v>32360.520418580229</v>
      </c>
      <c r="O46" s="188">
        <f t="shared" ref="O46:R46" si="31">SUM(O39:O41)/O45</f>
        <v>29770.389394365007</v>
      </c>
      <c r="P46" s="188">
        <f t="shared" si="31"/>
        <v>28018.874929992358</v>
      </c>
      <c r="Q46" s="188">
        <f t="shared" si="31"/>
        <v>32435.185767384475</v>
      </c>
      <c r="R46" s="188">
        <f t="shared" si="31"/>
        <v>35222.729542388093</v>
      </c>
      <c r="T46" s="37"/>
      <c r="U46" s="40"/>
    </row>
    <row r="47" spans="2:22" x14ac:dyDescent="0.25"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188"/>
      <c r="P47" s="188"/>
      <c r="Q47" s="188"/>
      <c r="R47" s="188"/>
      <c r="T47" s="37"/>
      <c r="U47" s="40"/>
    </row>
    <row r="48" spans="2:22" x14ac:dyDescent="0.25">
      <c r="B48" t="s">
        <v>112</v>
      </c>
      <c r="C48" s="35">
        <f>C39/C45</f>
        <v>14151.411931989298</v>
      </c>
      <c r="D48" s="35">
        <f t="shared" ref="D48:N48" si="32">D39/D45</f>
        <v>14983.061887852235</v>
      </c>
      <c r="E48" s="35">
        <f t="shared" si="32"/>
        <v>16838.762102853405</v>
      </c>
      <c r="F48" s="35">
        <f t="shared" si="32"/>
        <v>17928.058792072065</v>
      </c>
      <c r="G48" s="35">
        <f t="shared" si="32"/>
        <v>18053.123137301176</v>
      </c>
      <c r="H48" s="35">
        <f t="shared" si="32"/>
        <v>17425.50084569418</v>
      </c>
      <c r="I48" s="35">
        <f t="shared" si="32"/>
        <v>15946.689576822469</v>
      </c>
      <c r="J48" s="35">
        <f t="shared" si="32"/>
        <v>13407.213909379696</v>
      </c>
      <c r="K48" s="35">
        <f t="shared" si="32"/>
        <v>13414.753557750611</v>
      </c>
      <c r="L48" s="35">
        <f t="shared" si="32"/>
        <v>14388.988571819775</v>
      </c>
      <c r="M48" s="35">
        <f t="shared" si="32"/>
        <v>15340.32267267003</v>
      </c>
      <c r="N48" s="35">
        <f t="shared" si="32"/>
        <v>14188.742617753695</v>
      </c>
      <c r="O48" s="188">
        <f t="shared" ref="O48:R48" si="33">O39/O45</f>
        <v>14964.30346552678</v>
      </c>
      <c r="P48" s="188">
        <f t="shared" si="33"/>
        <v>16188.00751307861</v>
      </c>
      <c r="Q48" s="188">
        <f t="shared" si="33"/>
        <v>17024.754954738</v>
      </c>
      <c r="R48" s="188">
        <f t="shared" si="33"/>
        <v>18110.960829429871</v>
      </c>
      <c r="T48" s="37"/>
      <c r="U48" s="40"/>
    </row>
    <row r="49" spans="2:22" x14ac:dyDescent="0.25">
      <c r="B49" t="s">
        <v>113</v>
      </c>
      <c r="C49" s="35">
        <f>C40/C45</f>
        <v>12181.269384414196</v>
      </c>
      <c r="D49" s="35">
        <f t="shared" ref="D49:N49" si="34">D40/D45</f>
        <v>10917.232663378132</v>
      </c>
      <c r="E49" s="35">
        <f t="shared" si="34"/>
        <v>13094.837359961426</v>
      </c>
      <c r="F49" s="35">
        <f t="shared" si="34"/>
        <v>14143.48794376164</v>
      </c>
      <c r="G49" s="35">
        <f t="shared" si="34"/>
        <v>14307.949086383804</v>
      </c>
      <c r="H49" s="35">
        <f t="shared" si="34"/>
        <v>12780.177388901206</v>
      </c>
      <c r="I49" s="35">
        <f t="shared" si="34"/>
        <v>10216.732118663062</v>
      </c>
      <c r="J49" s="35">
        <f t="shared" si="34"/>
        <v>9806.397063520275</v>
      </c>
      <c r="K49" s="35">
        <f t="shared" si="34"/>
        <v>11170.132073657671</v>
      </c>
      <c r="L49" s="35">
        <f t="shared" si="34"/>
        <v>14191.74831577736</v>
      </c>
      <c r="M49" s="35">
        <f t="shared" si="34"/>
        <v>15005.340640270229</v>
      </c>
      <c r="N49" s="35">
        <f t="shared" si="34"/>
        <v>13851.445910304323</v>
      </c>
      <c r="O49" s="188">
        <f t="shared" ref="O49:R49" si="35">O40/O45</f>
        <v>12332.496695350275</v>
      </c>
      <c r="P49" s="188">
        <f t="shared" si="35"/>
        <v>10179.127321476977</v>
      </c>
      <c r="Q49" s="188">
        <f t="shared" si="35"/>
        <v>12575.389599932276</v>
      </c>
      <c r="R49" s="188">
        <f t="shared" si="35"/>
        <v>13392.893129128262</v>
      </c>
      <c r="T49" s="37"/>
      <c r="U49" s="40"/>
    </row>
    <row r="50" spans="2:22" x14ac:dyDescent="0.25">
      <c r="B50" t="s">
        <v>131</v>
      </c>
      <c r="C50" s="35">
        <f>C41/C45</f>
        <v>3437.7080779615167</v>
      </c>
      <c r="D50" s="35">
        <f t="shared" ref="D50:N50" si="36">D41/D45</f>
        <v>2118.5803787619911</v>
      </c>
      <c r="E50" s="35">
        <f t="shared" si="36"/>
        <v>2501.5863045696419</v>
      </c>
      <c r="F50" s="35">
        <f t="shared" si="36"/>
        <v>3151.1828065543832</v>
      </c>
      <c r="G50" s="35">
        <f t="shared" si="36"/>
        <v>2290.941724795347</v>
      </c>
      <c r="H50" s="35">
        <f t="shared" si="36"/>
        <v>1985.690048788116</v>
      </c>
      <c r="I50" s="35">
        <f t="shared" si="36"/>
        <v>1997.041157672498</v>
      </c>
      <c r="J50" s="35">
        <f t="shared" si="36"/>
        <v>2702.3514393653645</v>
      </c>
      <c r="K50" s="35">
        <f t="shared" si="36"/>
        <v>2922.4260950961607</v>
      </c>
      <c r="L50" s="35">
        <f t="shared" si="36"/>
        <v>4216.656831199839</v>
      </c>
      <c r="M50" s="35">
        <f t="shared" si="36"/>
        <v>4125.3034389832419</v>
      </c>
      <c r="N50" s="35">
        <f t="shared" si="36"/>
        <v>4320.3318905222059</v>
      </c>
      <c r="O50" s="188">
        <f t="shared" ref="O50:R50" si="37">O41/O45</f>
        <v>2473.5892334879527</v>
      </c>
      <c r="P50" s="188">
        <f t="shared" si="37"/>
        <v>1651.7400954367695</v>
      </c>
      <c r="Q50" s="188">
        <f t="shared" si="37"/>
        <v>2835.0412127141972</v>
      </c>
      <c r="R50" s="188">
        <f t="shared" si="37"/>
        <v>3718.8755838299558</v>
      </c>
      <c r="T50" s="37"/>
      <c r="U50" s="40"/>
    </row>
    <row r="51" spans="2:22" x14ac:dyDescent="0.25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188"/>
      <c r="P51" s="188"/>
      <c r="Q51" s="188"/>
      <c r="R51" s="188"/>
      <c r="T51" s="37"/>
      <c r="U51" s="40"/>
    </row>
    <row r="52" spans="2:22" x14ac:dyDescent="0.25">
      <c r="B52" t="s">
        <v>135</v>
      </c>
      <c r="C52" s="35">
        <f>C37/C45</f>
        <v>99.412099897582763</v>
      </c>
      <c r="D52" s="35">
        <f t="shared" ref="D52:N52" si="38">D37/D45</f>
        <v>105.11213022683215</v>
      </c>
      <c r="E52" s="35">
        <f t="shared" si="38"/>
        <v>116.89577967919706</v>
      </c>
      <c r="F52" s="35">
        <f t="shared" si="38"/>
        <v>125.07306586944141</v>
      </c>
      <c r="G52" s="35">
        <f t="shared" si="38"/>
        <v>128.81504197455706</v>
      </c>
      <c r="H52" s="35">
        <f t="shared" si="38"/>
        <v>116.85444037066291</v>
      </c>
      <c r="I52" s="35">
        <f t="shared" si="38"/>
        <v>114.40337091544491</v>
      </c>
      <c r="J52" s="35">
        <f t="shared" si="38"/>
        <v>95.587843177091145</v>
      </c>
      <c r="K52" s="35">
        <f t="shared" si="38"/>
        <v>93.764266728653539</v>
      </c>
      <c r="L52" s="35">
        <f t="shared" si="38"/>
        <v>99.169420254220299</v>
      </c>
      <c r="M52" s="35">
        <f>M37/M45</f>
        <v>104.71880470832356</v>
      </c>
      <c r="N52" s="35">
        <f t="shared" si="38"/>
        <v>97.604270859386688</v>
      </c>
      <c r="O52" s="188">
        <f t="shared" ref="O52:R52" si="39">O37/O45</f>
        <v>106.03173662641095</v>
      </c>
      <c r="P52" s="188">
        <f t="shared" si="39"/>
        <v>113.56059222104689</v>
      </c>
      <c r="Q52" s="188">
        <f t="shared" si="39"/>
        <v>119.79106575163921</v>
      </c>
      <c r="R52" s="188">
        <f t="shared" si="39"/>
        <v>132.35891346892933</v>
      </c>
      <c r="T52" s="37"/>
      <c r="U52" s="40"/>
    </row>
    <row r="53" spans="2:22" x14ac:dyDescent="0.25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188"/>
      <c r="P53" s="188"/>
      <c r="Q53" s="188"/>
      <c r="R53" s="188"/>
      <c r="T53" s="37"/>
      <c r="U53" s="40"/>
    </row>
    <row r="54" spans="2:22" x14ac:dyDescent="0.25">
      <c r="B54" t="s">
        <v>137</v>
      </c>
      <c r="C54" s="35"/>
      <c r="D54" s="35"/>
      <c r="E54" s="35"/>
      <c r="F54" s="35"/>
      <c r="G54" s="35">
        <f>8/31*G46</f>
        <v>8942.4552125110531</v>
      </c>
      <c r="H54" s="35">
        <f t="shared" ref="H54:N54" si="40">8/31*H46</f>
        <v>8307.4498795828404</v>
      </c>
      <c r="I54" s="35">
        <f t="shared" si="40"/>
        <v>7267.2162201698129</v>
      </c>
      <c r="J54" s="35">
        <f t="shared" si="40"/>
        <v>6687.9902999394417</v>
      </c>
      <c r="K54" s="35">
        <f t="shared" si="40"/>
        <v>7098.6610907108234</v>
      </c>
      <c r="L54" s="35">
        <f t="shared" si="40"/>
        <v>8463.8435403347012</v>
      </c>
      <c r="M54" s="35">
        <f t="shared" si="40"/>
        <v>8895.7333553350982</v>
      </c>
      <c r="N54" s="35">
        <f t="shared" si="40"/>
        <v>8351.1020435045757</v>
      </c>
      <c r="O54" s="188">
        <f t="shared" ref="O54:R54" si="41">8/31*O46</f>
        <v>7682.681134029679</v>
      </c>
      <c r="P54" s="188">
        <f t="shared" si="41"/>
        <v>7230.6774012883507</v>
      </c>
      <c r="Q54" s="188">
        <f t="shared" si="41"/>
        <v>8370.3705206153481</v>
      </c>
      <c r="R54" s="188">
        <f t="shared" si="41"/>
        <v>9089.7366561001527</v>
      </c>
      <c r="T54" s="178">
        <f>SUM(K54:N54)</f>
        <v>32809.340029885199</v>
      </c>
      <c r="U54" s="179">
        <f>SUM(G54:J54,O54:R54)</f>
        <v>63578.577324236678</v>
      </c>
      <c r="V54">
        <f>T54+U54</f>
        <v>96387.917354121877</v>
      </c>
    </row>
  </sheetData>
  <pageMargins left="0.7" right="0.7" top="0.75" bottom="0.75" header="0.3" footer="0.3"/>
  <pageSetup scale="64" fitToWidth="2" fitToHeight="2" orientation="landscape" r:id="rId1"/>
  <headerFooter differentFirst="1">
    <oddFooter>&amp;CPage &amp;P of &amp;N</oddFooter>
    <firstFooter>&amp;CPage &amp;P of &amp;N</first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IS ADJ 14</vt:lpstr>
      <vt:lpstr>Customers</vt:lpstr>
      <vt:lpstr>WN Summary</vt:lpstr>
      <vt:lpstr>LTOutput</vt:lpstr>
      <vt:lpstr>RG</vt:lpstr>
      <vt:lpstr>CB</vt:lpstr>
      <vt:lpstr>SH</vt:lpstr>
      <vt:lpstr>GP</vt:lpstr>
      <vt:lpstr>TEB</vt:lpstr>
      <vt:lpstr>Bills Combined</vt:lpstr>
      <vt:lpstr>kWh Combined</vt:lpstr>
      <vt:lpstr>Customers!Print_Area</vt:lpstr>
      <vt:lpstr>LTOutput!Print_Area</vt:lpstr>
      <vt:lpstr>CB!Print_Titles</vt:lpstr>
      <vt:lpstr>GP!Print_Titles</vt:lpstr>
      <vt:lpstr>'kWh Combined'!Print_Titles</vt:lpstr>
      <vt:lpstr>LTOutput!Print_Titles</vt:lpstr>
      <vt:lpstr>RG!Print_Titles</vt:lpstr>
      <vt:lpstr>SH!Print_Titles</vt:lpstr>
      <vt:lpstr>TEB!Print_Titles</vt:lpstr>
      <vt:lpstr>'WN Summary'!Print_Titles</vt:lpstr>
    </vt:vector>
  </TitlesOfParts>
  <Company>Liberty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Young</dc:creator>
  <cp:lastModifiedBy>Charlotte Emery</cp:lastModifiedBy>
  <cp:lastPrinted>2019-11-07T19:53:08Z</cp:lastPrinted>
  <dcterms:created xsi:type="dcterms:W3CDTF">2019-07-01T22:40:40Z</dcterms:created>
  <dcterms:modified xsi:type="dcterms:W3CDTF">2020-04-17T23:38:04Z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