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25" yWindow="-150" windowWidth="15240" windowHeight="12960" tabRatio="571"/>
  </bookViews>
  <sheets>
    <sheet name="Index" sheetId="1" r:id="rId1"/>
    <sheet name="APP A Cover" sheetId="2" r:id="rId2"/>
    <sheet name="Eligible Replmnts" sheetId="3" r:id="rId3"/>
    <sheet name="Retrmnts" sheetId="4" r:id="rId4"/>
    <sheet name="APP B Cover" sheetId="17" r:id="rId5"/>
    <sheet name="Rev Req" sheetId="7" r:id="rId6"/>
    <sheet name="Depr Exp" sheetId="8" r:id="rId7"/>
    <sheet name="Deferred Taxes" sheetId="19" r:id="rId8"/>
    <sheet name="Rate Design-Current Period" sheetId="10" r:id="rId9"/>
    <sheet name="Wgt Cost of Cap" sheetId="11" r:id="rId10"/>
    <sheet name="Property Taxes" sheetId="15" r:id="rId11"/>
    <sheet name="APP C Cover" sheetId="18" r:id="rId12"/>
    <sheet name="Tax Rate Cal" sheetId="1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'[1]Jun 99'!#REF!</definedName>
    <definedName name="\P">#REF!</definedName>
    <definedName name="\t">'[1]Jun 99'!#REF!</definedName>
    <definedName name="_a1">'[2]WP Input '!$F$29</definedName>
    <definedName name="_a2">'[2]WP Input '!$C$16</definedName>
    <definedName name="_a3">'[2]WP Input '!$D$38</definedName>
    <definedName name="_Div02">'[3]Alloc factors'!$D$12</definedName>
    <definedName name="_div10">'[4]WP 1-2'!#REF!</definedName>
    <definedName name="_DIV12">'[5]Alloc factors'!$D$13</definedName>
    <definedName name="_div21">'[4]WP 1-2'!#REF!</definedName>
    <definedName name="_EXH1">#REF!</definedName>
    <definedName name="_EXH6">#REF!</definedName>
    <definedName name="_xlnm._FilterDatabase" localSheetId="2" hidden="1">'Eligible Replmnts'!$A$431:$I$654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swe80">[6]Input!$E$29</definedName>
    <definedName name="_ucg80">[6]Input!$E$31</definedName>
    <definedName name="AVG_RESIDUAL_PROFORMA">'[7]DATA INPUT'!$D$43</definedName>
    <definedName name="BUSUNIT" localSheetId="12">'Tax Rate Cal'!#REF!</definedName>
    <definedName name="BUSUNIT">'Tax Rate Cal'!#REF!</definedName>
    <definedName name="BUSUNIT2">'Tax Rate Cal'!#REF!</definedName>
    <definedName name="BUTLER">#REF!</definedName>
    <definedName name="C_">'[5]Schedule 4 O&amp;M'!#REF!</definedName>
    <definedName name="Central_Only">'[5]Alloc factors'!#REF!</definedName>
    <definedName name="CO_KS_SSRESIDUAL">'Tax Rate Cal'!#REF!</definedName>
    <definedName name="COKS_DIV30_EXP">'Tax Rate Cal'!#REF!</definedName>
    <definedName name="COKS_SSRESIDUAL">'Tax Rate Cal'!#REF!</definedName>
    <definedName name="COMPANY">'[7]DATA INPUT'!$C$7</definedName>
    <definedName name="CompositTaxRate">'Tax Rate Cal'!$C$15</definedName>
    <definedName name="Cortez">'[5]Alloc factors'!#REF!</definedName>
    <definedName name="csDesignMode">1</definedName>
    <definedName name="customerinput">#REF!</definedName>
    <definedName name="DEPRECIATION">'[1]Jun 99'!#REF!</definedName>
    <definedName name="Div02_Butler_Exp">'Tax Rate Cal'!#REF!</definedName>
    <definedName name="Div02_Butler_Plant">'Tax Rate Cal'!#REF!</definedName>
    <definedName name="Div02_Kirk_Exp">'Tax Rate Cal'!#REF!</definedName>
    <definedName name="Div02_Kirk_Plant">'Tax Rate Cal'!#REF!</definedName>
    <definedName name="Div02_MO_Exp">'Tax Rate Cal'!#REF!</definedName>
    <definedName name="Div02_MO_Plant">'Tax Rate Cal'!#REF!</definedName>
    <definedName name="Div02_MS_Exp">'Tax Rate Cal'!#REF!</definedName>
    <definedName name="Div02_MS_Plant">'Tax Rate Cal'!#REF!</definedName>
    <definedName name="Div02_SEMO_Exp">'Tax Rate Cal'!#REF!</definedName>
    <definedName name="Div02_SEMO_Plant">'Tax Rate Cal'!#REF!</definedName>
    <definedName name="Div88_Butler_Exp">'Tax Rate Cal'!#REF!</definedName>
    <definedName name="Div88_Butler_Plant">'Tax Rate Cal'!#REF!</definedName>
    <definedName name="Div88_Kirk_Exp">'Tax Rate Cal'!#REF!</definedName>
    <definedName name="Div88_Kirk_Plant">'Tax Rate Cal'!#REF!</definedName>
    <definedName name="Div88_MS_Exp">'Tax Rate Cal'!#REF!</definedName>
    <definedName name="Div88_MS_Plant">'Tax Rate Cal'!#REF!</definedName>
    <definedName name="Div88_SEMO_Exp">'Tax Rate Cal'!#REF!</definedName>
    <definedName name="Div88_SEMO_Plant">'Tax Rate Cal'!#REF!</definedName>
    <definedName name="Div91_Butler_Exp">'Tax Rate Cal'!#REF!</definedName>
    <definedName name="Div91_Butler_Plant">'Tax Rate Cal'!#REF!</definedName>
    <definedName name="Div91_Kirk_Exp">'Tax Rate Cal'!#REF!</definedName>
    <definedName name="Div91_Kirk_Plant">'Tax Rate Cal'!#REF!</definedName>
    <definedName name="Div91_MO_Exp">'Tax Rate Cal'!#REF!</definedName>
    <definedName name="Div91_MO_Plant">'Tax Rate Cal'!#REF!</definedName>
    <definedName name="Div91_MS_Exp">'Tax Rate Cal'!#REF!</definedName>
    <definedName name="Div91_MS_Plant">'Tax Rate Cal'!#REF!</definedName>
    <definedName name="Div91_SEMO_Exp">'Tax Rate Cal'!#REF!</definedName>
    <definedName name="Div91_SEMO_Plant">'Tax Rate Cal'!#REF!</definedName>
    <definedName name="Durango">'[5]Alloc factors'!#REF!</definedName>
    <definedName name="EXH1A">#REF!</definedName>
    <definedName name="FEDTAX" localSheetId="12">'Tax Rate Cal'!$C$13</definedName>
    <definedName name="FEDTAX">'Tax Rate Cal'!$C$13</definedName>
    <definedName name="Fremont">'[5]Alloc factors'!#REF!</definedName>
    <definedName name="GGC_DIV24_METER">'Tax Rate Cal'!$G$27</definedName>
    <definedName name="GGC_DIV30_EXP">'Tax Rate Cal'!#REF!</definedName>
    <definedName name="GGC_DIV30_PLANT">'Tax Rate Cal'!#REF!</definedName>
    <definedName name="GGC_SSEXP">'Tax Rate Cal'!#REF!</definedName>
    <definedName name="GGC_SSPLANT">'Tax Rate Cal'!#REF!</definedName>
    <definedName name="GGC_SSRESIDUAL">'Tax Rate Cal'!#REF!</definedName>
    <definedName name="GOEXP">'Tax Rate Cal'!#REF!</definedName>
    <definedName name="GOEXP_PROFORMA">'[7]DATA INPUT'!$D$53</definedName>
    <definedName name="GOPLANT">'Tax Rate Cal'!#REF!</definedName>
    <definedName name="GOPLANT_PROFORMA">'[7]DATA INPUT'!$D$57</definedName>
    <definedName name="JURISDICTION" localSheetId="12">'Tax Rate Cal'!$C$8</definedName>
    <definedName name="JURISDICTION">'Tax Rate Cal'!$C$8</definedName>
    <definedName name="k">'[2]WP Input '!$F$29</definedName>
    <definedName name="KIRK">#REF!</definedName>
    <definedName name="Kirk_Plant">#REF!</definedName>
    <definedName name="LTD_Rate">'Tax Rate Cal'!#REF!</definedName>
    <definedName name="LTDcostrate">#REF!</definedName>
    <definedName name="MS">#REF!</definedName>
    <definedName name="MS_Plant">#REF!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storg">#REF!</definedName>
    <definedName name="NW_Only">'[5]Alloc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_xlnm.Print_Area" localSheetId="6">'Depr Exp'!$A$1:$D$21</definedName>
    <definedName name="_xlnm.Print_Area" localSheetId="2">'Eligible Replmnts'!$A$1:$I$674</definedName>
    <definedName name="_xlnm.Print_Area" localSheetId="0">Index!$A$1:$I$32</definedName>
    <definedName name="_xlnm.Print_Area" localSheetId="10">'Property Taxes'!$A$1:$G$690</definedName>
    <definedName name="_xlnm.Print_Area" localSheetId="8">'Rate Design-Current Period'!$A$1:$H$38</definedName>
    <definedName name="_xlnm.Print_Area" localSheetId="3">Retrmnts!$A$1:$I$170</definedName>
    <definedName name="_xlnm.Print_Area" localSheetId="5">'Rev Req'!$A$1:$E$58</definedName>
    <definedName name="_xlnm.Print_Area" localSheetId="12">'Tax Rate Cal'!$A$1:$G$21</definedName>
    <definedName name="_xlnm.Print_Area" localSheetId="9">'Wgt Cost of Cap'!$A$1:$F$20</definedName>
    <definedName name="Print_Area_MI">'[1]Jun 99'!#REF!</definedName>
    <definedName name="_xlnm.Print_Titles" localSheetId="2">'Eligible Replmnts'!$3:$3</definedName>
    <definedName name="_xlnm.Print_Titles" localSheetId="10">'Property Taxes'!$20:$20</definedName>
    <definedName name="_xlnm.Print_Titles" localSheetId="5">'Rev Req'!$1:$8</definedName>
    <definedName name="Proj_LTDrate">'Tax Rate Cal'!#REF!</definedName>
    <definedName name="Proj_STDrate">'Tax Rate Cal'!#REF!</definedName>
    <definedName name="PROPERTY">'[1]Jun 99'!#REF!</definedName>
    <definedName name="ROEXP">'Tax Rate Cal'!#REF!</definedName>
    <definedName name="ROPLANT">'Tax Rate Cal'!#REF!</definedName>
    <definedName name="ROR_Rate">'Tax Rate Cal'!#REF!</definedName>
    <definedName name="SE_Only">'[5]Alloc factors'!#REF!</definedName>
    <definedName name="SEadit">#REF!</definedName>
    <definedName name="SEadv">#REF!</definedName>
    <definedName name="SEcash">#REF!</definedName>
    <definedName name="SEcwip">#REF!</definedName>
    <definedName name="SEdep">#REF!</definedName>
    <definedName name="SEmatsup">#REF!</definedName>
    <definedName name="SEMO">#REF!</definedName>
    <definedName name="SEMO_Plant">#REF!</definedName>
    <definedName name="SEplant">#REF!</definedName>
    <definedName name="SEpp">#REF!</definedName>
    <definedName name="SEstorg">#REF!</definedName>
    <definedName name="SSEXP" localSheetId="12">'Tax Rate Cal'!#REF!</definedName>
    <definedName name="SSExp">'Tax Rate Cal'!#REF!</definedName>
    <definedName name="SSPLANT" localSheetId="12">'Tax Rate Cal'!#REF!</definedName>
    <definedName name="SSPlant">'Tax Rate Cal'!#REF!</definedName>
    <definedName name="SSRESIDUAL">'Tax Rate Cal'!#REF!</definedName>
    <definedName name="STD_Rate">'Tax Rate Cal'!#REF!</definedName>
    <definedName name="STTAX" localSheetId="12">'Tax Rate Cal'!$C$14</definedName>
    <definedName name="Sttax">#REF!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plant">#REF!</definedName>
    <definedName name="SWpp">#REF!</definedName>
    <definedName name="SWstorg">#REF!</definedName>
    <definedName name="TESTPERIOD" localSheetId="12">'Tax Rate Cal'!$C$9</definedName>
    <definedName name="TESTPERIOD">'Tax Rate Cal'!$C$9</definedName>
    <definedName name="TESTPERIOD1">'Tax Rate Cal'!$C$9</definedName>
    <definedName name="TestPeriodDate">[8]Inputs!$D$20</definedName>
    <definedName name="TESTYEAR">'[7]DATA INPUT'!$C$9</definedName>
    <definedName name="TOTadit">#REF!</definedName>
    <definedName name="TOTadv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storg">#REF!</definedName>
    <definedName name="Uxrwoff_with_Pban_Query">#REF!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7_7">#REF!</definedName>
    <definedName name="Z_DE15B2BA_40F5_45E6_8522_CEC75071027D_.wvu.PrintArea" localSheetId="12" hidden="1">'Tax Rate Cal'!$A$1:$H$21</definedName>
  </definedNames>
  <calcPr calcId="145621"/>
</workbook>
</file>

<file path=xl/calcChain.xml><?xml version="1.0" encoding="utf-8"?>
<calcChain xmlns="http://schemas.openxmlformats.org/spreadsheetml/2006/main">
  <c r="I69" i="4" l="1"/>
  <c r="G69" i="4"/>
  <c r="F69" i="4"/>
  <c r="H69" i="4" s="1"/>
  <c r="I68" i="4"/>
  <c r="G68" i="4"/>
  <c r="F68" i="4"/>
  <c r="H68" i="4" s="1"/>
  <c r="I67" i="4"/>
  <c r="G67" i="4"/>
  <c r="F67" i="4"/>
  <c r="H67" i="4" s="1"/>
  <c r="I66" i="4"/>
  <c r="G66" i="4"/>
  <c r="F66" i="4"/>
  <c r="H66" i="4" s="1"/>
  <c r="I65" i="4"/>
  <c r="G65" i="4"/>
  <c r="F65" i="4"/>
  <c r="H65" i="4" s="1"/>
  <c r="I64" i="4"/>
  <c r="G64" i="4"/>
  <c r="F64" i="4"/>
  <c r="H64" i="4" s="1"/>
  <c r="I63" i="4"/>
  <c r="G63" i="4"/>
  <c r="F63" i="4"/>
  <c r="H63" i="4" s="1"/>
  <c r="I62" i="4"/>
  <c r="G62" i="4"/>
  <c r="F62" i="4"/>
  <c r="H62" i="4" s="1"/>
  <c r="I24" i="4"/>
  <c r="H24" i="4"/>
  <c r="G24" i="4"/>
  <c r="F24" i="4"/>
  <c r="G12" i="4"/>
  <c r="I12" i="4" s="1"/>
  <c r="F12" i="4"/>
  <c r="H12" i="4" s="1"/>
  <c r="I11" i="4"/>
  <c r="G11" i="4"/>
  <c r="F11" i="4"/>
  <c r="H11" i="4" s="1"/>
  <c r="G10" i="4"/>
  <c r="I10" i="4" s="1"/>
  <c r="F10" i="4"/>
  <c r="H10" i="4" l="1"/>
  <c r="G160" i="4" l="1"/>
  <c r="G161" i="4"/>
  <c r="G162" i="4"/>
  <c r="G149" i="4"/>
  <c r="G150" i="4"/>
  <c r="G151" i="4"/>
  <c r="G152" i="4"/>
  <c r="G153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61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56" i="4"/>
  <c r="G57" i="4"/>
  <c r="G58" i="4"/>
  <c r="G59" i="4"/>
  <c r="G60" i="4"/>
  <c r="G21" i="4"/>
  <c r="G22" i="4"/>
  <c r="G23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" i="4"/>
  <c r="G5" i="4"/>
  <c r="G6" i="4"/>
  <c r="G7" i="4"/>
  <c r="G8" i="4"/>
  <c r="G9" i="4"/>
  <c r="G13" i="4"/>
  <c r="G607" i="3" l="1"/>
  <c r="G608" i="3"/>
  <c r="G609" i="3"/>
  <c r="G610" i="3"/>
  <c r="G611" i="3"/>
  <c r="G612" i="3"/>
  <c r="G613" i="3"/>
  <c r="G650" i="3"/>
  <c r="G651" i="3"/>
  <c r="G652" i="3"/>
  <c r="G653" i="3"/>
  <c r="G654" i="3"/>
  <c r="G446" i="3"/>
  <c r="G447" i="3"/>
  <c r="G448" i="3"/>
  <c r="G459" i="3"/>
  <c r="G460" i="3"/>
  <c r="G461" i="3"/>
  <c r="G524" i="3"/>
  <c r="G525" i="3"/>
  <c r="G526" i="3"/>
  <c r="G527" i="3"/>
  <c r="G528" i="3"/>
  <c r="G550" i="3"/>
  <c r="G551" i="3"/>
  <c r="G552" i="3"/>
  <c r="G553" i="3"/>
  <c r="G554" i="3"/>
  <c r="G555" i="3"/>
  <c r="G556" i="3"/>
  <c r="G557" i="3"/>
  <c r="G558" i="3"/>
  <c r="G559" i="3"/>
  <c r="G560" i="3"/>
  <c r="G576" i="3"/>
  <c r="G577" i="3"/>
  <c r="G578" i="3"/>
  <c r="G579" i="3"/>
  <c r="G580" i="3"/>
  <c r="G581" i="3"/>
  <c r="G582" i="3"/>
  <c r="G583" i="3"/>
  <c r="G584" i="3"/>
  <c r="G585" i="3"/>
  <c r="G596" i="3"/>
  <c r="G597" i="3"/>
  <c r="G598" i="3"/>
  <c r="G599" i="3"/>
  <c r="G600" i="3"/>
  <c r="G601" i="3"/>
  <c r="G602" i="3"/>
  <c r="G603" i="3"/>
  <c r="G604" i="3"/>
  <c r="G605" i="3"/>
  <c r="G606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49" i="3"/>
  <c r="G450" i="3"/>
  <c r="G451" i="3"/>
  <c r="G439" i="3"/>
  <c r="G440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7" i="19" l="1"/>
  <c r="E7" i="19" s="1"/>
  <c r="F7" i="19" s="1"/>
  <c r="H7" i="19" s="1"/>
  <c r="B49" i="19"/>
  <c r="C49" i="19" s="1"/>
  <c r="D36" i="19" s="1"/>
  <c r="B45" i="19"/>
  <c r="B46" i="19" s="1"/>
  <c r="G39" i="19"/>
  <c r="B39" i="19"/>
  <c r="H38" i="19"/>
  <c r="E37" i="19"/>
  <c r="F37" i="19" s="1"/>
  <c r="H37" i="19" s="1"/>
  <c r="C35" i="19"/>
  <c r="C34" i="19"/>
  <c r="C33" i="19"/>
  <c r="G29" i="19"/>
  <c r="B29" i="19"/>
  <c r="H28" i="19"/>
  <c r="I27" i="19"/>
  <c r="I28" i="19" s="1"/>
  <c r="J28" i="19" s="1"/>
  <c r="E27" i="19"/>
  <c r="F27" i="19" s="1"/>
  <c r="H27" i="19" s="1"/>
  <c r="J27" i="19" s="1"/>
  <c r="C26" i="19"/>
  <c r="D25" i="19"/>
  <c r="D24" i="19"/>
  <c r="C24" i="19"/>
  <c r="C23" i="19"/>
  <c r="G19" i="19"/>
  <c r="B19" i="19"/>
  <c r="F18" i="19"/>
  <c r="H18" i="19" s="1"/>
  <c r="E18" i="19"/>
  <c r="E17" i="19"/>
  <c r="F17" i="19" s="1"/>
  <c r="H17" i="19" s="1"/>
  <c r="D16" i="19"/>
  <c r="D15" i="19"/>
  <c r="C15" i="19"/>
  <c r="C14" i="19"/>
  <c r="C13" i="19"/>
  <c r="G9" i="19"/>
  <c r="B9" i="19"/>
  <c r="D8" i="19"/>
  <c r="E8" i="19" s="1"/>
  <c r="F8" i="19" s="1"/>
  <c r="H8" i="19" s="1"/>
  <c r="J8" i="19" s="1"/>
  <c r="C8" i="19"/>
  <c r="I7" i="19"/>
  <c r="I8" i="19" s="1"/>
  <c r="C6" i="19"/>
  <c r="D5" i="19"/>
  <c r="D4" i="19"/>
  <c r="C4" i="19"/>
  <c r="C3" i="19"/>
  <c r="F680" i="15"/>
  <c r="G680" i="15" s="1"/>
  <c r="F681" i="15"/>
  <c r="G681" i="15" s="1"/>
  <c r="F587" i="15"/>
  <c r="G587" i="15" s="1"/>
  <c r="F588" i="15"/>
  <c r="G588" i="15" s="1"/>
  <c r="F589" i="15"/>
  <c r="G589" i="15" s="1"/>
  <c r="F590" i="15"/>
  <c r="G590" i="15" s="1"/>
  <c r="F591" i="15"/>
  <c r="G591" i="15" s="1"/>
  <c r="F592" i="15"/>
  <c r="G592" i="15"/>
  <c r="F593" i="15"/>
  <c r="G593" i="15" s="1"/>
  <c r="F594" i="15"/>
  <c r="G594" i="15" s="1"/>
  <c r="F595" i="15"/>
  <c r="G595" i="15" s="1"/>
  <c r="F596" i="15"/>
  <c r="G596" i="15" s="1"/>
  <c r="F597" i="15"/>
  <c r="G597" i="15" s="1"/>
  <c r="F598" i="15"/>
  <c r="G598" i="15" s="1"/>
  <c r="F599" i="15"/>
  <c r="G599" i="15" s="1"/>
  <c r="F600" i="15"/>
  <c r="G600" i="15" s="1"/>
  <c r="F601" i="15"/>
  <c r="G601" i="15" s="1"/>
  <c r="F602" i="15"/>
  <c r="G602" i="15" s="1"/>
  <c r="F603" i="15"/>
  <c r="G603" i="15" s="1"/>
  <c r="F604" i="15"/>
  <c r="G604" i="15" s="1"/>
  <c r="F605" i="15"/>
  <c r="G605" i="15" s="1"/>
  <c r="F606" i="15"/>
  <c r="G606" i="15" s="1"/>
  <c r="F607" i="15"/>
  <c r="G607" i="15" s="1"/>
  <c r="F608" i="15"/>
  <c r="G608" i="15"/>
  <c r="F609" i="15"/>
  <c r="G609" i="15" s="1"/>
  <c r="F610" i="15"/>
  <c r="G610" i="15" s="1"/>
  <c r="F611" i="15"/>
  <c r="G611" i="15" s="1"/>
  <c r="F612" i="15"/>
  <c r="G612" i="15" s="1"/>
  <c r="F613" i="15"/>
  <c r="G613" i="15" s="1"/>
  <c r="F614" i="15"/>
  <c r="G614" i="15" s="1"/>
  <c r="F615" i="15"/>
  <c r="G615" i="15" s="1"/>
  <c r="F616" i="15"/>
  <c r="G616" i="15" s="1"/>
  <c r="F617" i="15"/>
  <c r="G617" i="15" s="1"/>
  <c r="F618" i="15"/>
  <c r="G618" i="15" s="1"/>
  <c r="F619" i="15"/>
  <c r="G619" i="15" s="1"/>
  <c r="F620" i="15"/>
  <c r="G620" i="15" s="1"/>
  <c r="F621" i="15"/>
  <c r="G621" i="15" s="1"/>
  <c r="F622" i="15"/>
  <c r="G622" i="15" s="1"/>
  <c r="F623" i="15"/>
  <c r="G623" i="15" s="1"/>
  <c r="F624" i="15"/>
  <c r="G624" i="15"/>
  <c r="F625" i="15"/>
  <c r="G625" i="15" s="1"/>
  <c r="F626" i="15"/>
  <c r="G626" i="15" s="1"/>
  <c r="F627" i="15"/>
  <c r="G627" i="15" s="1"/>
  <c r="F628" i="15"/>
  <c r="G628" i="15" s="1"/>
  <c r="F629" i="15"/>
  <c r="G629" i="15" s="1"/>
  <c r="F630" i="15"/>
  <c r="G630" i="15" s="1"/>
  <c r="F631" i="15"/>
  <c r="G631" i="15" s="1"/>
  <c r="F632" i="15"/>
  <c r="G632" i="15" s="1"/>
  <c r="F633" i="15"/>
  <c r="G633" i="15" s="1"/>
  <c r="F634" i="15"/>
  <c r="G634" i="15" s="1"/>
  <c r="F635" i="15"/>
  <c r="G635" i="15" s="1"/>
  <c r="F636" i="15"/>
  <c r="G636" i="15" s="1"/>
  <c r="F637" i="15"/>
  <c r="G637" i="15" s="1"/>
  <c r="F638" i="15"/>
  <c r="G638" i="15" s="1"/>
  <c r="F639" i="15"/>
  <c r="G639" i="15" s="1"/>
  <c r="F640" i="15"/>
  <c r="G640" i="15"/>
  <c r="F641" i="15"/>
  <c r="G641" i="15" s="1"/>
  <c r="F642" i="15"/>
  <c r="G642" i="15" s="1"/>
  <c r="F643" i="15"/>
  <c r="G643" i="15" s="1"/>
  <c r="F644" i="15"/>
  <c r="G644" i="15" s="1"/>
  <c r="F645" i="15"/>
  <c r="G645" i="15" s="1"/>
  <c r="F646" i="15"/>
  <c r="G646" i="15" s="1"/>
  <c r="F647" i="15"/>
  <c r="G647" i="15" s="1"/>
  <c r="F648" i="15"/>
  <c r="G648" i="15" s="1"/>
  <c r="F649" i="15"/>
  <c r="G649" i="15" s="1"/>
  <c r="F650" i="15"/>
  <c r="G650" i="15" s="1"/>
  <c r="F651" i="15"/>
  <c r="G651" i="15" s="1"/>
  <c r="F652" i="15"/>
  <c r="G652" i="15" s="1"/>
  <c r="F653" i="15"/>
  <c r="G653" i="15" s="1"/>
  <c r="F654" i="15"/>
  <c r="G654" i="15" s="1"/>
  <c r="F655" i="15"/>
  <c r="G655" i="15" s="1"/>
  <c r="F656" i="15"/>
  <c r="G656" i="15"/>
  <c r="F657" i="15"/>
  <c r="G657" i="15" s="1"/>
  <c r="F658" i="15"/>
  <c r="G658" i="15" s="1"/>
  <c r="F659" i="15"/>
  <c r="G659" i="15" s="1"/>
  <c r="F660" i="15"/>
  <c r="G660" i="15" s="1"/>
  <c r="F661" i="15"/>
  <c r="G661" i="15" s="1"/>
  <c r="F662" i="15"/>
  <c r="G662" i="15" s="1"/>
  <c r="F663" i="15"/>
  <c r="G663" i="15" s="1"/>
  <c r="F664" i="15"/>
  <c r="G664" i="15" s="1"/>
  <c r="F665" i="15"/>
  <c r="G665" i="15" s="1"/>
  <c r="F666" i="15"/>
  <c r="G666" i="15" s="1"/>
  <c r="F667" i="15"/>
  <c r="G667" i="15" s="1"/>
  <c r="F668" i="15"/>
  <c r="G668" i="15" s="1"/>
  <c r="F669" i="15"/>
  <c r="G669" i="15" s="1"/>
  <c r="F670" i="15"/>
  <c r="G670" i="15" s="1"/>
  <c r="F485" i="15"/>
  <c r="G485" i="15" s="1"/>
  <c r="F486" i="15"/>
  <c r="G486" i="15"/>
  <c r="F487" i="15"/>
  <c r="G487" i="15" s="1"/>
  <c r="F488" i="15"/>
  <c r="G488" i="15" s="1"/>
  <c r="F489" i="15"/>
  <c r="G489" i="15" s="1"/>
  <c r="F490" i="15"/>
  <c r="G490" i="15" s="1"/>
  <c r="F491" i="15"/>
  <c r="G491" i="15" s="1"/>
  <c r="F492" i="15"/>
  <c r="G492" i="15" s="1"/>
  <c r="F493" i="15"/>
  <c r="G493" i="15" s="1"/>
  <c r="F494" i="15"/>
  <c r="G494" i="15"/>
  <c r="F495" i="15"/>
  <c r="G495" i="15" s="1"/>
  <c r="F496" i="15"/>
  <c r="G496" i="15" s="1"/>
  <c r="F497" i="15"/>
  <c r="G497" i="15" s="1"/>
  <c r="F498" i="15"/>
  <c r="G498" i="15" s="1"/>
  <c r="F499" i="15"/>
  <c r="G499" i="15" s="1"/>
  <c r="F500" i="15"/>
  <c r="G500" i="15"/>
  <c r="F501" i="15"/>
  <c r="G501" i="15" s="1"/>
  <c r="F502" i="15"/>
  <c r="G502" i="15"/>
  <c r="F503" i="15"/>
  <c r="G503" i="15" s="1"/>
  <c r="F504" i="15"/>
  <c r="G504" i="15" s="1"/>
  <c r="F505" i="15"/>
  <c r="G505" i="15" s="1"/>
  <c r="F506" i="15"/>
  <c r="G506" i="15" s="1"/>
  <c r="F507" i="15"/>
  <c r="G507" i="15" s="1"/>
  <c r="F508" i="15"/>
  <c r="G508" i="15"/>
  <c r="F509" i="15"/>
  <c r="G509" i="15" s="1"/>
  <c r="F510" i="15"/>
  <c r="G510" i="15"/>
  <c r="F511" i="15"/>
  <c r="G511" i="15" s="1"/>
  <c r="F512" i="15"/>
  <c r="G512" i="15" s="1"/>
  <c r="F513" i="15"/>
  <c r="G513" i="15" s="1"/>
  <c r="F514" i="15"/>
  <c r="G514" i="15" s="1"/>
  <c r="F515" i="15"/>
  <c r="G515" i="15" s="1"/>
  <c r="F516" i="15"/>
  <c r="G516" i="15"/>
  <c r="F517" i="15"/>
  <c r="G517" i="15" s="1"/>
  <c r="F518" i="15"/>
  <c r="G518" i="15"/>
  <c r="F519" i="15"/>
  <c r="G519" i="15" s="1"/>
  <c r="F520" i="15"/>
  <c r="G520" i="15" s="1"/>
  <c r="F521" i="15"/>
  <c r="G521" i="15" s="1"/>
  <c r="F522" i="15"/>
  <c r="G522" i="15" s="1"/>
  <c r="F523" i="15"/>
  <c r="G523" i="15" s="1"/>
  <c r="F524" i="15"/>
  <c r="G524" i="15"/>
  <c r="F525" i="15"/>
  <c r="G525" i="15" s="1"/>
  <c r="F526" i="15"/>
  <c r="G526" i="15"/>
  <c r="F527" i="15"/>
  <c r="G527" i="15" s="1"/>
  <c r="F528" i="15"/>
  <c r="G528" i="15" s="1"/>
  <c r="F529" i="15"/>
  <c r="G529" i="15" s="1"/>
  <c r="F530" i="15"/>
  <c r="G530" i="15" s="1"/>
  <c r="F531" i="15"/>
  <c r="G531" i="15" s="1"/>
  <c r="F532" i="15"/>
  <c r="G532" i="15"/>
  <c r="F533" i="15"/>
  <c r="G533" i="15" s="1"/>
  <c r="F534" i="15"/>
  <c r="G534" i="15"/>
  <c r="F535" i="15"/>
  <c r="G535" i="15" s="1"/>
  <c r="F536" i="15"/>
  <c r="G536" i="15" s="1"/>
  <c r="F537" i="15"/>
  <c r="G537" i="15" s="1"/>
  <c r="F538" i="15"/>
  <c r="G538" i="15" s="1"/>
  <c r="F539" i="15"/>
  <c r="G539" i="15" s="1"/>
  <c r="F540" i="15"/>
  <c r="G540" i="15"/>
  <c r="F541" i="15"/>
  <c r="G541" i="15" s="1"/>
  <c r="F542" i="15"/>
  <c r="G542" i="15"/>
  <c r="F543" i="15"/>
  <c r="G543" i="15" s="1"/>
  <c r="F544" i="15"/>
  <c r="G544" i="15" s="1"/>
  <c r="F545" i="15"/>
  <c r="G545" i="15" s="1"/>
  <c r="F546" i="15"/>
  <c r="G546" i="15" s="1"/>
  <c r="F547" i="15"/>
  <c r="G547" i="15" s="1"/>
  <c r="F548" i="15"/>
  <c r="G548" i="15"/>
  <c r="F549" i="15"/>
  <c r="G549" i="15" s="1"/>
  <c r="F550" i="15"/>
  <c r="G550" i="15"/>
  <c r="F551" i="15"/>
  <c r="G551" i="15" s="1"/>
  <c r="F552" i="15"/>
  <c r="G552" i="15" s="1"/>
  <c r="F553" i="15"/>
  <c r="G553" i="15" s="1"/>
  <c r="F554" i="15"/>
  <c r="G554" i="15" s="1"/>
  <c r="F555" i="15"/>
  <c r="G555" i="15" s="1"/>
  <c r="F556" i="15"/>
  <c r="G556" i="15"/>
  <c r="F557" i="15"/>
  <c r="G557" i="15" s="1"/>
  <c r="F558" i="15"/>
  <c r="G558" i="15"/>
  <c r="F559" i="15"/>
  <c r="G559" i="15" s="1"/>
  <c r="F560" i="15"/>
  <c r="G560" i="15" s="1"/>
  <c r="F561" i="15"/>
  <c r="G561" i="15" s="1"/>
  <c r="F562" i="15"/>
  <c r="G562" i="15" s="1"/>
  <c r="F563" i="15"/>
  <c r="G563" i="15" s="1"/>
  <c r="F564" i="15"/>
  <c r="G564" i="15"/>
  <c r="F565" i="15"/>
  <c r="G565" i="15" s="1"/>
  <c r="F566" i="15"/>
  <c r="G566" i="15"/>
  <c r="F567" i="15"/>
  <c r="G567" i="15" s="1"/>
  <c r="F568" i="15"/>
  <c r="G568" i="15" s="1"/>
  <c r="F569" i="15"/>
  <c r="G569" i="15" s="1"/>
  <c r="F570" i="15"/>
  <c r="G570" i="15" s="1"/>
  <c r="F571" i="15"/>
  <c r="G571" i="15" s="1"/>
  <c r="F572" i="15"/>
  <c r="G572" i="15"/>
  <c r="F573" i="15"/>
  <c r="G573" i="15" s="1"/>
  <c r="F574" i="15"/>
  <c r="G574" i="15"/>
  <c r="F575" i="15"/>
  <c r="G575" i="15" s="1"/>
  <c r="F576" i="15"/>
  <c r="G576" i="15" s="1"/>
  <c r="F448" i="15"/>
  <c r="G448" i="15" s="1"/>
  <c r="F449" i="15"/>
  <c r="G449" i="15" s="1"/>
  <c r="F450" i="15"/>
  <c r="G450" i="15" s="1"/>
  <c r="F451" i="15"/>
  <c r="G451" i="15" s="1"/>
  <c r="F452" i="15"/>
  <c r="G452" i="15" s="1"/>
  <c r="F453" i="15"/>
  <c r="G453" i="15" s="1"/>
  <c r="F454" i="15"/>
  <c r="G454" i="15" s="1"/>
  <c r="F455" i="15"/>
  <c r="G455" i="15" s="1"/>
  <c r="F456" i="15"/>
  <c r="G456" i="15" s="1"/>
  <c r="F457" i="15"/>
  <c r="G457" i="15" s="1"/>
  <c r="F458" i="15"/>
  <c r="G458" i="15" s="1"/>
  <c r="F459" i="15"/>
  <c r="G459" i="15" s="1"/>
  <c r="F460" i="15"/>
  <c r="G460" i="15" s="1"/>
  <c r="F461" i="15"/>
  <c r="G461" i="15" s="1"/>
  <c r="F462" i="15"/>
  <c r="G462" i="15" s="1"/>
  <c r="F463" i="15"/>
  <c r="G463" i="15"/>
  <c r="F464" i="15"/>
  <c r="G464" i="15" s="1"/>
  <c r="F465" i="15"/>
  <c r="G465" i="15" s="1"/>
  <c r="F466" i="15"/>
  <c r="G466" i="15" s="1"/>
  <c r="F467" i="15"/>
  <c r="G467" i="15" s="1"/>
  <c r="F468" i="15"/>
  <c r="G468" i="15" s="1"/>
  <c r="F469" i="15"/>
  <c r="G469" i="15" s="1"/>
  <c r="F470" i="15"/>
  <c r="G470" i="15" s="1"/>
  <c r="F471" i="15"/>
  <c r="G471" i="15" s="1"/>
  <c r="F472" i="15"/>
  <c r="G472" i="15" s="1"/>
  <c r="F447" i="15"/>
  <c r="G447" i="15" s="1"/>
  <c r="F473" i="15"/>
  <c r="G473" i="15" s="1"/>
  <c r="F474" i="15"/>
  <c r="G474" i="15" s="1"/>
  <c r="F475" i="15"/>
  <c r="G475" i="15" s="1"/>
  <c r="F476" i="15"/>
  <c r="G476" i="15" s="1"/>
  <c r="F477" i="15"/>
  <c r="G477" i="15" s="1"/>
  <c r="F397" i="15"/>
  <c r="G397" i="15" s="1"/>
  <c r="F398" i="15"/>
  <c r="G398" i="15" s="1"/>
  <c r="F399" i="15"/>
  <c r="G399" i="15" s="1"/>
  <c r="F400" i="15"/>
  <c r="G400" i="15" s="1"/>
  <c r="F401" i="15"/>
  <c r="G401" i="15" s="1"/>
  <c r="F402" i="15"/>
  <c r="G402" i="15" s="1"/>
  <c r="F403" i="15"/>
  <c r="G403" i="15" s="1"/>
  <c r="F404" i="15"/>
  <c r="G404" i="15" s="1"/>
  <c r="F405" i="15"/>
  <c r="G405" i="15" s="1"/>
  <c r="F406" i="15"/>
  <c r="G406" i="15" s="1"/>
  <c r="F407" i="15"/>
  <c r="G407" i="15" s="1"/>
  <c r="F408" i="15"/>
  <c r="G408" i="15"/>
  <c r="F409" i="15"/>
  <c r="G409" i="15" s="1"/>
  <c r="F410" i="15"/>
  <c r="G410" i="15" s="1"/>
  <c r="F411" i="15"/>
  <c r="G411" i="15" s="1"/>
  <c r="F412" i="15"/>
  <c r="G412" i="15" s="1"/>
  <c r="F413" i="15"/>
  <c r="G413" i="15" s="1"/>
  <c r="F414" i="15"/>
  <c r="G414" i="15" s="1"/>
  <c r="F415" i="15"/>
  <c r="G415" i="15" s="1"/>
  <c r="F416" i="15"/>
  <c r="G416" i="15" s="1"/>
  <c r="F417" i="15"/>
  <c r="G417" i="15" s="1"/>
  <c r="F418" i="15"/>
  <c r="G418" i="15"/>
  <c r="F419" i="15"/>
  <c r="G419" i="15" s="1"/>
  <c r="F420" i="15"/>
  <c r="G420" i="15" s="1"/>
  <c r="F421" i="15"/>
  <c r="G421" i="15" s="1"/>
  <c r="F422" i="15"/>
  <c r="G422" i="15" s="1"/>
  <c r="F423" i="15"/>
  <c r="G423" i="15" s="1"/>
  <c r="F424" i="15"/>
  <c r="G424" i="15" s="1"/>
  <c r="F425" i="15"/>
  <c r="G425" i="15" s="1"/>
  <c r="F426" i="15"/>
  <c r="G426" i="15" s="1"/>
  <c r="F427" i="15"/>
  <c r="G427" i="15" s="1"/>
  <c r="F428" i="15"/>
  <c r="G428" i="15" s="1"/>
  <c r="F429" i="15"/>
  <c r="G429" i="15" s="1"/>
  <c r="F430" i="15"/>
  <c r="G430" i="15" s="1"/>
  <c r="F431" i="15"/>
  <c r="G431" i="15" s="1"/>
  <c r="F432" i="15"/>
  <c r="G432" i="15"/>
  <c r="F331" i="15"/>
  <c r="G331" i="15" s="1"/>
  <c r="F332" i="15"/>
  <c r="G332" i="15" s="1"/>
  <c r="F333" i="15"/>
  <c r="G333" i="15" s="1"/>
  <c r="F334" i="15"/>
  <c r="G334" i="15" s="1"/>
  <c r="F335" i="15"/>
  <c r="G335" i="15" s="1"/>
  <c r="F336" i="15"/>
  <c r="G336" i="15" s="1"/>
  <c r="F337" i="15"/>
  <c r="G337" i="15" s="1"/>
  <c r="F338" i="15"/>
  <c r="G338" i="15" s="1"/>
  <c r="F339" i="15"/>
  <c r="G339" i="15" s="1"/>
  <c r="F340" i="15"/>
  <c r="G340" i="15" s="1"/>
  <c r="F341" i="15"/>
  <c r="G341" i="15" s="1"/>
  <c r="F342" i="15"/>
  <c r="G342" i="15" s="1"/>
  <c r="F343" i="15"/>
  <c r="G343" i="15" s="1"/>
  <c r="F344" i="15"/>
  <c r="G344" i="15" s="1"/>
  <c r="F345" i="15"/>
  <c r="G345" i="15" s="1"/>
  <c r="F346" i="15"/>
  <c r="G346" i="15" s="1"/>
  <c r="F347" i="15"/>
  <c r="G347" i="15" s="1"/>
  <c r="F348" i="15"/>
  <c r="G348" i="15" s="1"/>
  <c r="F349" i="15"/>
  <c r="G349" i="15" s="1"/>
  <c r="F350" i="15"/>
  <c r="G350" i="15" s="1"/>
  <c r="F351" i="15"/>
  <c r="G351" i="15" s="1"/>
  <c r="F352" i="15"/>
  <c r="G352" i="15" s="1"/>
  <c r="F353" i="15"/>
  <c r="G353" i="15" s="1"/>
  <c r="F354" i="15"/>
  <c r="G354" i="15" s="1"/>
  <c r="F355" i="15"/>
  <c r="G355" i="15" s="1"/>
  <c r="F356" i="15"/>
  <c r="G356" i="15" s="1"/>
  <c r="F357" i="15"/>
  <c r="G357" i="15" s="1"/>
  <c r="F358" i="15"/>
  <c r="G358" i="15" s="1"/>
  <c r="F359" i="15"/>
  <c r="G359" i="15" s="1"/>
  <c r="F360" i="15"/>
  <c r="G360" i="15" s="1"/>
  <c r="F361" i="15"/>
  <c r="G361" i="15" s="1"/>
  <c r="F362" i="15"/>
  <c r="G362" i="15" s="1"/>
  <c r="F363" i="15"/>
  <c r="G363" i="15" s="1"/>
  <c r="F364" i="15"/>
  <c r="G364" i="15" s="1"/>
  <c r="F365" i="15"/>
  <c r="G365" i="15" s="1"/>
  <c r="F366" i="15"/>
  <c r="G366" i="15" s="1"/>
  <c r="F367" i="15"/>
  <c r="G367" i="15" s="1"/>
  <c r="F368" i="15"/>
  <c r="G368" i="15" s="1"/>
  <c r="F369" i="15"/>
  <c r="G369" i="15" s="1"/>
  <c r="F370" i="15"/>
  <c r="G370" i="15" s="1"/>
  <c r="F371" i="15"/>
  <c r="G371" i="15" s="1"/>
  <c r="F372" i="15"/>
  <c r="G372" i="15" s="1"/>
  <c r="F373" i="15"/>
  <c r="G373" i="15" s="1"/>
  <c r="F374" i="15"/>
  <c r="G374" i="15" s="1"/>
  <c r="F375" i="15"/>
  <c r="G375" i="15" s="1"/>
  <c r="F376" i="15"/>
  <c r="G376" i="15" s="1"/>
  <c r="F377" i="15"/>
  <c r="G377" i="15" s="1"/>
  <c r="F378" i="15"/>
  <c r="G378" i="15" s="1"/>
  <c r="F379" i="15"/>
  <c r="G379" i="15" s="1"/>
  <c r="F380" i="15"/>
  <c r="G380" i="15" s="1"/>
  <c r="F381" i="15"/>
  <c r="G381" i="15" s="1"/>
  <c r="F382" i="15"/>
  <c r="G382" i="15" s="1"/>
  <c r="F383" i="15"/>
  <c r="G383" i="15" s="1"/>
  <c r="F384" i="15"/>
  <c r="G384" i="15" s="1"/>
  <c r="F385" i="15"/>
  <c r="G385" i="15" s="1"/>
  <c r="F386" i="15"/>
  <c r="G386" i="15" s="1"/>
  <c r="F305" i="15"/>
  <c r="G305" i="15" s="1"/>
  <c r="F306" i="15"/>
  <c r="G306" i="15" s="1"/>
  <c r="F307" i="15"/>
  <c r="G307" i="15" s="1"/>
  <c r="F308" i="15"/>
  <c r="G308" i="15" s="1"/>
  <c r="F309" i="15"/>
  <c r="G309" i="15" s="1"/>
  <c r="F310" i="15"/>
  <c r="G310" i="15" s="1"/>
  <c r="F311" i="15"/>
  <c r="G311" i="15" s="1"/>
  <c r="F312" i="15"/>
  <c r="G312" i="15" s="1"/>
  <c r="F313" i="15"/>
  <c r="G313" i="15" s="1"/>
  <c r="F314" i="15"/>
  <c r="G314" i="15" s="1"/>
  <c r="F315" i="15"/>
  <c r="G315" i="15" s="1"/>
  <c r="F316" i="15"/>
  <c r="G316" i="15" s="1"/>
  <c r="F317" i="15"/>
  <c r="G317" i="15" s="1"/>
  <c r="F318" i="15"/>
  <c r="G318" i="15" s="1"/>
  <c r="F319" i="15"/>
  <c r="G319" i="15" s="1"/>
  <c r="F217" i="15"/>
  <c r="G217" i="15" s="1"/>
  <c r="F218" i="15"/>
  <c r="G218" i="15" s="1"/>
  <c r="F219" i="15"/>
  <c r="G219" i="15" s="1"/>
  <c r="F220" i="15"/>
  <c r="G220" i="15" s="1"/>
  <c r="F221" i="15"/>
  <c r="G221" i="15" s="1"/>
  <c r="F222" i="15"/>
  <c r="G222" i="15" s="1"/>
  <c r="F223" i="15"/>
  <c r="G223" i="15" s="1"/>
  <c r="F224" i="15"/>
  <c r="G224" i="15" s="1"/>
  <c r="F225" i="15"/>
  <c r="G225" i="15" s="1"/>
  <c r="F226" i="15"/>
  <c r="G226" i="15" s="1"/>
  <c r="F227" i="15"/>
  <c r="G227" i="15" s="1"/>
  <c r="F228" i="15"/>
  <c r="G228" i="15" s="1"/>
  <c r="F229" i="15"/>
  <c r="G229" i="15" s="1"/>
  <c r="F230" i="15"/>
  <c r="G230" i="15" s="1"/>
  <c r="F231" i="15"/>
  <c r="G231" i="15" s="1"/>
  <c r="F232" i="15"/>
  <c r="G232" i="15" s="1"/>
  <c r="F233" i="15"/>
  <c r="G233" i="15" s="1"/>
  <c r="F234" i="15"/>
  <c r="G234" i="15" s="1"/>
  <c r="F235" i="15"/>
  <c r="G235" i="15" s="1"/>
  <c r="F236" i="15"/>
  <c r="G236" i="15" s="1"/>
  <c r="F237" i="15"/>
  <c r="G237" i="15" s="1"/>
  <c r="F238" i="15"/>
  <c r="G238" i="15" s="1"/>
  <c r="F239" i="15"/>
  <c r="G239" i="15" s="1"/>
  <c r="F240" i="15"/>
  <c r="G240" i="15" s="1"/>
  <c r="F241" i="15"/>
  <c r="G241" i="15" s="1"/>
  <c r="F242" i="15"/>
  <c r="G242" i="15" s="1"/>
  <c r="F243" i="15"/>
  <c r="G243" i="15" s="1"/>
  <c r="F244" i="15"/>
  <c r="G244" i="15" s="1"/>
  <c r="F245" i="15"/>
  <c r="G245" i="15" s="1"/>
  <c r="F246" i="15"/>
  <c r="G246" i="15" s="1"/>
  <c r="F247" i="15"/>
  <c r="G247" i="15" s="1"/>
  <c r="F248" i="15"/>
  <c r="G248" i="15" s="1"/>
  <c r="F249" i="15"/>
  <c r="G249" i="15" s="1"/>
  <c r="F250" i="15"/>
  <c r="G250" i="15" s="1"/>
  <c r="F251" i="15"/>
  <c r="G251" i="15" s="1"/>
  <c r="F252" i="15"/>
  <c r="G252" i="15" s="1"/>
  <c r="F253" i="15"/>
  <c r="G253" i="15" s="1"/>
  <c r="F254" i="15"/>
  <c r="G254" i="15" s="1"/>
  <c r="F255" i="15"/>
  <c r="G255" i="15" s="1"/>
  <c r="F256" i="15"/>
  <c r="G256" i="15" s="1"/>
  <c r="F257" i="15"/>
  <c r="G257" i="15" s="1"/>
  <c r="F258" i="15"/>
  <c r="G258" i="15" s="1"/>
  <c r="F259" i="15"/>
  <c r="G259" i="15" s="1"/>
  <c r="F260" i="15"/>
  <c r="G260" i="15" s="1"/>
  <c r="F261" i="15"/>
  <c r="G261" i="15" s="1"/>
  <c r="F262" i="15"/>
  <c r="G262" i="15" s="1"/>
  <c r="F263" i="15"/>
  <c r="G263" i="15" s="1"/>
  <c r="F264" i="15"/>
  <c r="G264" i="15" s="1"/>
  <c r="F265" i="15"/>
  <c r="G265" i="15" s="1"/>
  <c r="F266" i="15"/>
  <c r="G266" i="15" s="1"/>
  <c r="F267" i="15"/>
  <c r="G267" i="15" s="1"/>
  <c r="F268" i="15"/>
  <c r="G268" i="15" s="1"/>
  <c r="F269" i="15"/>
  <c r="G269" i="15" s="1"/>
  <c r="F270" i="15"/>
  <c r="G270" i="15" s="1"/>
  <c r="F271" i="15"/>
  <c r="G271" i="15" s="1"/>
  <c r="F272" i="15"/>
  <c r="G272" i="15" s="1"/>
  <c r="F273" i="15"/>
  <c r="G273" i="15" s="1"/>
  <c r="F274" i="15"/>
  <c r="G274" i="15" s="1"/>
  <c r="F275" i="15"/>
  <c r="G275" i="15" s="1"/>
  <c r="F276" i="15"/>
  <c r="G276" i="15" s="1"/>
  <c r="F277" i="15"/>
  <c r="G277" i="15" s="1"/>
  <c r="F278" i="15"/>
  <c r="G278" i="15" s="1"/>
  <c r="F279" i="15"/>
  <c r="G279" i="15" s="1"/>
  <c r="F280" i="15"/>
  <c r="G280" i="15" s="1"/>
  <c r="F281" i="15"/>
  <c r="G281" i="15" s="1"/>
  <c r="F282" i="15"/>
  <c r="G282" i="15" s="1"/>
  <c r="F283" i="15"/>
  <c r="G283" i="15" s="1"/>
  <c r="F284" i="15"/>
  <c r="G284" i="15" s="1"/>
  <c r="F285" i="15"/>
  <c r="G285" i="15" s="1"/>
  <c r="F286" i="15"/>
  <c r="G286" i="15" s="1"/>
  <c r="F287" i="15"/>
  <c r="G287" i="15" s="1"/>
  <c r="F288" i="15"/>
  <c r="G288" i="15" s="1"/>
  <c r="F289" i="15"/>
  <c r="G289" i="15" s="1"/>
  <c r="F290" i="15"/>
  <c r="G290" i="15" s="1"/>
  <c r="F291" i="15"/>
  <c r="G291" i="15" s="1"/>
  <c r="F292" i="15"/>
  <c r="G292" i="15" s="1"/>
  <c r="F293" i="15"/>
  <c r="G293" i="15" s="1"/>
  <c r="F294" i="15"/>
  <c r="G294" i="15" s="1"/>
  <c r="F295" i="15"/>
  <c r="G295" i="15" s="1"/>
  <c r="F59" i="15"/>
  <c r="G59" i="15" s="1"/>
  <c r="F60" i="15"/>
  <c r="G60" i="15" s="1"/>
  <c r="F61" i="15"/>
  <c r="G61" i="15" s="1"/>
  <c r="F62" i="15"/>
  <c r="G62" i="15" s="1"/>
  <c r="F63" i="15"/>
  <c r="G63" i="15" s="1"/>
  <c r="F64" i="15"/>
  <c r="G64" i="15" s="1"/>
  <c r="F65" i="15"/>
  <c r="G65" i="15" s="1"/>
  <c r="F66" i="15"/>
  <c r="G66" i="15" s="1"/>
  <c r="F67" i="15"/>
  <c r="G67" i="15" s="1"/>
  <c r="F68" i="15"/>
  <c r="G68" i="15" s="1"/>
  <c r="F69" i="15"/>
  <c r="G69" i="15" s="1"/>
  <c r="F70" i="15"/>
  <c r="G70" i="15" s="1"/>
  <c r="F71" i="15"/>
  <c r="G71" i="15" s="1"/>
  <c r="F72" i="15"/>
  <c r="G72" i="15" s="1"/>
  <c r="F73" i="15"/>
  <c r="G73" i="15" s="1"/>
  <c r="F74" i="15"/>
  <c r="G74" i="15" s="1"/>
  <c r="F75" i="15"/>
  <c r="G75" i="15" s="1"/>
  <c r="F76" i="15"/>
  <c r="G76" i="15" s="1"/>
  <c r="F77" i="15"/>
  <c r="G77" i="15" s="1"/>
  <c r="F78" i="15"/>
  <c r="G78" i="15" s="1"/>
  <c r="F79" i="15"/>
  <c r="G79" i="15" s="1"/>
  <c r="F80" i="15"/>
  <c r="G80" i="15" s="1"/>
  <c r="F81" i="15"/>
  <c r="G81" i="15" s="1"/>
  <c r="F82" i="15"/>
  <c r="G82" i="15" s="1"/>
  <c r="F83" i="15"/>
  <c r="G83" i="15" s="1"/>
  <c r="F84" i="15"/>
  <c r="G84" i="15" s="1"/>
  <c r="F85" i="15"/>
  <c r="G85" i="15" s="1"/>
  <c r="F86" i="15"/>
  <c r="G86" i="15" s="1"/>
  <c r="F87" i="15"/>
  <c r="G87" i="15" s="1"/>
  <c r="F88" i="15"/>
  <c r="G88" i="15" s="1"/>
  <c r="F89" i="15"/>
  <c r="G89" i="15" s="1"/>
  <c r="F90" i="15"/>
  <c r="G90" i="15" s="1"/>
  <c r="F91" i="15"/>
  <c r="G91" i="15" s="1"/>
  <c r="F92" i="15"/>
  <c r="G92" i="15" s="1"/>
  <c r="F93" i="15"/>
  <c r="G93" i="15" s="1"/>
  <c r="F94" i="15"/>
  <c r="G94" i="15" s="1"/>
  <c r="F95" i="15"/>
  <c r="G95" i="15" s="1"/>
  <c r="F96" i="15"/>
  <c r="G96" i="15" s="1"/>
  <c r="F97" i="15"/>
  <c r="G97" i="15" s="1"/>
  <c r="F98" i="15"/>
  <c r="G98" i="15"/>
  <c r="F99" i="15"/>
  <c r="G99" i="15" s="1"/>
  <c r="F100" i="15"/>
  <c r="G100" i="15" s="1"/>
  <c r="F101" i="15"/>
  <c r="G101" i="15" s="1"/>
  <c r="F102" i="15"/>
  <c r="G102" i="15" s="1"/>
  <c r="F103" i="15"/>
  <c r="G103" i="15" s="1"/>
  <c r="F104" i="15"/>
  <c r="G104" i="15" s="1"/>
  <c r="F105" i="15"/>
  <c r="G105" i="15" s="1"/>
  <c r="F106" i="15"/>
  <c r="G106" i="15" s="1"/>
  <c r="F107" i="15"/>
  <c r="G107" i="15" s="1"/>
  <c r="F108" i="15"/>
  <c r="G108" i="15" s="1"/>
  <c r="F109" i="15"/>
  <c r="G109" i="15" s="1"/>
  <c r="F110" i="15"/>
  <c r="G110" i="15" s="1"/>
  <c r="F111" i="15"/>
  <c r="G111" i="15" s="1"/>
  <c r="F112" i="15"/>
  <c r="G112" i="15" s="1"/>
  <c r="F113" i="15"/>
  <c r="G113" i="15" s="1"/>
  <c r="F114" i="15"/>
  <c r="G114" i="15" s="1"/>
  <c r="F115" i="15"/>
  <c r="G115" i="15" s="1"/>
  <c r="F116" i="15"/>
  <c r="G116" i="15" s="1"/>
  <c r="F117" i="15"/>
  <c r="G117" i="15" s="1"/>
  <c r="F118" i="15"/>
  <c r="G118" i="15" s="1"/>
  <c r="F119" i="15"/>
  <c r="G119" i="15" s="1"/>
  <c r="F120" i="15"/>
  <c r="G120" i="15" s="1"/>
  <c r="F121" i="15"/>
  <c r="G121" i="15" s="1"/>
  <c r="F122" i="15"/>
  <c r="G122" i="15" s="1"/>
  <c r="F123" i="15"/>
  <c r="G123" i="15" s="1"/>
  <c r="F124" i="15"/>
  <c r="G124" i="15"/>
  <c r="F125" i="15"/>
  <c r="G125" i="15" s="1"/>
  <c r="F126" i="15"/>
  <c r="G126" i="15" s="1"/>
  <c r="F127" i="15"/>
  <c r="G127" i="15" s="1"/>
  <c r="F128" i="15"/>
  <c r="G128" i="15" s="1"/>
  <c r="F129" i="15"/>
  <c r="G129" i="15" s="1"/>
  <c r="F130" i="15"/>
  <c r="G130" i="15" s="1"/>
  <c r="F131" i="15"/>
  <c r="G131" i="15" s="1"/>
  <c r="F132" i="15"/>
  <c r="G132" i="15" s="1"/>
  <c r="F133" i="15"/>
  <c r="G133" i="15" s="1"/>
  <c r="F134" i="15"/>
  <c r="G134" i="15" s="1"/>
  <c r="F135" i="15"/>
  <c r="G135" i="15" s="1"/>
  <c r="F136" i="15"/>
  <c r="G136" i="15" s="1"/>
  <c r="F137" i="15"/>
  <c r="G137" i="15" s="1"/>
  <c r="F138" i="15"/>
  <c r="G138" i="15" s="1"/>
  <c r="F139" i="15"/>
  <c r="G139" i="15" s="1"/>
  <c r="F140" i="15"/>
  <c r="G140" i="15" s="1"/>
  <c r="F141" i="15"/>
  <c r="G141" i="15" s="1"/>
  <c r="F142" i="15"/>
  <c r="G142" i="15" s="1"/>
  <c r="F143" i="15"/>
  <c r="G143" i="15" s="1"/>
  <c r="F144" i="15"/>
  <c r="G144" i="15" s="1"/>
  <c r="F145" i="15"/>
  <c r="G145" i="15" s="1"/>
  <c r="F146" i="15"/>
  <c r="G146" i="15" s="1"/>
  <c r="F147" i="15"/>
  <c r="G147" i="15" s="1"/>
  <c r="F148" i="15"/>
  <c r="G148" i="15" s="1"/>
  <c r="F149" i="15"/>
  <c r="G149" i="15" s="1"/>
  <c r="F150" i="15"/>
  <c r="G150" i="15" s="1"/>
  <c r="F151" i="15"/>
  <c r="G151" i="15" s="1"/>
  <c r="F152" i="15"/>
  <c r="G152" i="15" s="1"/>
  <c r="F153" i="15"/>
  <c r="G153" i="15" s="1"/>
  <c r="F154" i="15"/>
  <c r="G154" i="15" s="1"/>
  <c r="F155" i="15"/>
  <c r="G155" i="15" s="1"/>
  <c r="F156" i="15"/>
  <c r="G156" i="15" s="1"/>
  <c r="F157" i="15"/>
  <c r="G157" i="15" s="1"/>
  <c r="F158" i="15"/>
  <c r="G158" i="15" s="1"/>
  <c r="F159" i="15"/>
  <c r="G159" i="15" s="1"/>
  <c r="F160" i="15"/>
  <c r="G160" i="15" s="1"/>
  <c r="F161" i="15"/>
  <c r="G161" i="15" s="1"/>
  <c r="F162" i="15"/>
  <c r="G162" i="15" s="1"/>
  <c r="F163" i="15"/>
  <c r="G163" i="15" s="1"/>
  <c r="F164" i="15"/>
  <c r="G164" i="15" s="1"/>
  <c r="F165" i="15"/>
  <c r="G165" i="15" s="1"/>
  <c r="F166" i="15"/>
  <c r="G166" i="15" s="1"/>
  <c r="F167" i="15"/>
  <c r="G167" i="15" s="1"/>
  <c r="F168" i="15"/>
  <c r="G168" i="15" s="1"/>
  <c r="F169" i="15"/>
  <c r="G169" i="15" s="1"/>
  <c r="F170" i="15"/>
  <c r="G170" i="15" s="1"/>
  <c r="F171" i="15"/>
  <c r="G171" i="15" s="1"/>
  <c r="F172" i="15"/>
  <c r="G172" i="15" s="1"/>
  <c r="F173" i="15"/>
  <c r="G173" i="15" s="1"/>
  <c r="F174" i="15"/>
  <c r="G174" i="15" s="1"/>
  <c r="F175" i="15"/>
  <c r="G175" i="15" s="1"/>
  <c r="F176" i="15"/>
  <c r="G176" i="15" s="1"/>
  <c r="F177" i="15"/>
  <c r="G177" i="15" s="1"/>
  <c r="F178" i="15"/>
  <c r="G178" i="15" s="1"/>
  <c r="F179" i="15"/>
  <c r="G179" i="15" s="1"/>
  <c r="F180" i="15"/>
  <c r="G180" i="15" s="1"/>
  <c r="F181" i="15"/>
  <c r="G181" i="15" s="1"/>
  <c r="F182" i="15"/>
  <c r="G182" i="15" s="1"/>
  <c r="F22" i="15"/>
  <c r="G22" i="15" s="1"/>
  <c r="F23" i="15"/>
  <c r="G23" i="15" s="1"/>
  <c r="F24" i="15"/>
  <c r="G24" i="15" s="1"/>
  <c r="F25" i="15"/>
  <c r="G25" i="15" s="1"/>
  <c r="F26" i="15"/>
  <c r="G26" i="15" s="1"/>
  <c r="F27" i="15"/>
  <c r="G27" i="15" s="1"/>
  <c r="F28" i="15"/>
  <c r="G28" i="15" s="1"/>
  <c r="F29" i="15"/>
  <c r="G29" i="15" s="1"/>
  <c r="F30" i="15"/>
  <c r="G30" i="15" s="1"/>
  <c r="F31" i="15"/>
  <c r="G31" i="15" s="1"/>
  <c r="F32" i="15"/>
  <c r="G32" i="15" s="1"/>
  <c r="F33" i="15"/>
  <c r="G33" i="15" s="1"/>
  <c r="F34" i="15"/>
  <c r="G34" i="15" s="1"/>
  <c r="F35" i="15"/>
  <c r="G35" i="15" s="1"/>
  <c r="F36" i="15"/>
  <c r="G36" i="15" s="1"/>
  <c r="F37" i="15"/>
  <c r="G37" i="15" s="1"/>
  <c r="F38" i="15"/>
  <c r="G38" i="15" s="1"/>
  <c r="E4" i="19" l="1"/>
  <c r="F4" i="19" s="1"/>
  <c r="H4" i="19" s="1"/>
  <c r="J7" i="19"/>
  <c r="I33" i="19"/>
  <c r="I34" i="19" s="1"/>
  <c r="I35" i="19" s="1"/>
  <c r="I36" i="19" s="1"/>
  <c r="I13" i="19"/>
  <c r="I14" i="19" s="1"/>
  <c r="I15" i="19" s="1"/>
  <c r="I16" i="19" s="1"/>
  <c r="I37" i="19"/>
  <c r="I38" i="19" s="1"/>
  <c r="J38" i="19" s="1"/>
  <c r="I23" i="19"/>
  <c r="I24" i="19" s="1"/>
  <c r="I25" i="19" s="1"/>
  <c r="I26" i="19" s="1"/>
  <c r="I17" i="19"/>
  <c r="I18" i="19" s="1"/>
  <c r="J18" i="19" s="1"/>
  <c r="I3" i="19"/>
  <c r="I4" i="19" s="1"/>
  <c r="I5" i="19" s="1"/>
  <c r="I6" i="19" s="1"/>
  <c r="E15" i="19"/>
  <c r="F15" i="19" s="1"/>
  <c r="H15" i="19" s="1"/>
  <c r="J15" i="19" s="1"/>
  <c r="E24" i="19"/>
  <c r="F24" i="19" s="1"/>
  <c r="H24" i="19" s="1"/>
  <c r="J24" i="19" s="1"/>
  <c r="D33" i="19"/>
  <c r="E33" i="19" s="1"/>
  <c r="F33" i="19" s="1"/>
  <c r="D26" i="19"/>
  <c r="E26" i="19" s="1"/>
  <c r="F26" i="19" s="1"/>
  <c r="H26" i="19" s="1"/>
  <c r="J26" i="19" s="1"/>
  <c r="D13" i="19"/>
  <c r="E13" i="19" s="1"/>
  <c r="F13" i="19" s="1"/>
  <c r="D6" i="19"/>
  <c r="E6" i="19" s="1"/>
  <c r="F6" i="19" s="1"/>
  <c r="H6" i="19" s="1"/>
  <c r="D34" i="19"/>
  <c r="E34" i="19" s="1"/>
  <c r="F34" i="19" s="1"/>
  <c r="H34" i="19" s="1"/>
  <c r="J34" i="19" s="1"/>
  <c r="D23" i="19"/>
  <c r="E23" i="19" s="1"/>
  <c r="F23" i="19" s="1"/>
  <c r="D14" i="19"/>
  <c r="E14" i="19" s="1"/>
  <c r="F14" i="19" s="1"/>
  <c r="H14" i="19" s="1"/>
  <c r="J14" i="19" s="1"/>
  <c r="D3" i="19"/>
  <c r="E3" i="19" s="1"/>
  <c r="F3" i="19" s="1"/>
  <c r="D35" i="19"/>
  <c r="E35" i="19" s="1"/>
  <c r="F35" i="19" s="1"/>
  <c r="H35" i="19" s="1"/>
  <c r="J35" i="19" s="1"/>
  <c r="C5" i="19"/>
  <c r="E5" i="19" s="1"/>
  <c r="F5" i="19" s="1"/>
  <c r="H5" i="19" s="1"/>
  <c r="J5" i="19" s="1"/>
  <c r="C16" i="19"/>
  <c r="E16" i="19" s="1"/>
  <c r="F16" i="19" s="1"/>
  <c r="H16" i="19" s="1"/>
  <c r="J16" i="19" s="1"/>
  <c r="C25" i="19"/>
  <c r="E25" i="19" s="1"/>
  <c r="F25" i="19" s="1"/>
  <c r="H25" i="19" s="1"/>
  <c r="J25" i="19" s="1"/>
  <c r="C36" i="19"/>
  <c r="E36" i="19" s="1"/>
  <c r="F36" i="19" s="1"/>
  <c r="H36" i="19" s="1"/>
  <c r="J36" i="19" s="1"/>
  <c r="F29" i="19" l="1"/>
  <c r="H23" i="19"/>
  <c r="J23" i="19" s="1"/>
  <c r="J29" i="19" s="1"/>
  <c r="C37" i="7" s="1"/>
  <c r="F19" i="19"/>
  <c r="H13" i="19"/>
  <c r="J13" i="19" s="1"/>
  <c r="J37" i="19"/>
  <c r="H33" i="19"/>
  <c r="J33" i="19" s="1"/>
  <c r="J39" i="19" s="1"/>
  <c r="D37" i="7" s="1"/>
  <c r="F39" i="19"/>
  <c r="J17" i="19"/>
  <c r="F9" i="19"/>
  <c r="H3" i="19"/>
  <c r="J3" i="19" s="1"/>
  <c r="J9" i="19" s="1"/>
  <c r="J6" i="19"/>
  <c r="J4" i="19"/>
  <c r="J19" i="19" l="1"/>
  <c r="J42" i="19" l="1"/>
  <c r="E37" i="7"/>
  <c r="B37" i="7" s="1"/>
  <c r="G666" i="3" l="1"/>
  <c r="I666" i="3" s="1"/>
  <c r="G665" i="3"/>
  <c r="G664" i="3"/>
  <c r="I664" i="3" s="1"/>
  <c r="G663" i="3"/>
  <c r="I663" i="3" s="1"/>
  <c r="I665" i="3"/>
  <c r="F664" i="3"/>
  <c r="F665" i="3"/>
  <c r="H665" i="3" s="1"/>
  <c r="F666" i="3"/>
  <c r="F663" i="3"/>
  <c r="I97" i="4"/>
  <c r="F97" i="4"/>
  <c r="H97" i="4" s="1"/>
  <c r="I96" i="4"/>
  <c r="F96" i="4"/>
  <c r="H96" i="4" s="1"/>
  <c r="I95" i="4"/>
  <c r="F95" i="4"/>
  <c r="H95" i="4" s="1"/>
  <c r="I94" i="4"/>
  <c r="F94" i="4"/>
  <c r="H94" i="4" s="1"/>
  <c r="I93" i="4"/>
  <c r="F93" i="4"/>
  <c r="H93" i="4" s="1"/>
  <c r="I92" i="4"/>
  <c r="F92" i="4"/>
  <c r="H92" i="4" s="1"/>
  <c r="I91" i="4"/>
  <c r="F91" i="4"/>
  <c r="H91" i="4" s="1"/>
  <c r="I90" i="4"/>
  <c r="F90" i="4"/>
  <c r="H90" i="4" s="1"/>
  <c r="I89" i="4"/>
  <c r="F89" i="4"/>
  <c r="H89" i="4" s="1"/>
  <c r="I88" i="4"/>
  <c r="F88" i="4"/>
  <c r="H88" i="4" s="1"/>
  <c r="I87" i="4"/>
  <c r="F87" i="4"/>
  <c r="H87" i="4" s="1"/>
  <c r="I86" i="4"/>
  <c r="F86" i="4"/>
  <c r="H86" i="4" s="1"/>
  <c r="I85" i="4"/>
  <c r="F85" i="4"/>
  <c r="H85" i="4" s="1"/>
  <c r="I84" i="4"/>
  <c r="F84" i="4"/>
  <c r="H84" i="4" s="1"/>
  <c r="I83" i="4"/>
  <c r="F83" i="4"/>
  <c r="H83" i="4" s="1"/>
  <c r="I82" i="4"/>
  <c r="F82" i="4"/>
  <c r="H82" i="4" s="1"/>
  <c r="I81" i="4"/>
  <c r="F81" i="4"/>
  <c r="H81" i="4" s="1"/>
  <c r="I80" i="4"/>
  <c r="F80" i="4"/>
  <c r="H80" i="4" s="1"/>
  <c r="I79" i="4"/>
  <c r="F79" i="4"/>
  <c r="H79" i="4" s="1"/>
  <c r="I78" i="4"/>
  <c r="F78" i="4"/>
  <c r="H78" i="4" s="1"/>
  <c r="I77" i="4"/>
  <c r="F77" i="4"/>
  <c r="H77" i="4" s="1"/>
  <c r="I76" i="4"/>
  <c r="F76" i="4"/>
  <c r="H76" i="4" s="1"/>
  <c r="I75" i="4"/>
  <c r="F75" i="4"/>
  <c r="H75" i="4" s="1"/>
  <c r="I74" i="4"/>
  <c r="F74" i="4"/>
  <c r="H74" i="4" s="1"/>
  <c r="I73" i="4"/>
  <c r="F73" i="4"/>
  <c r="H73" i="4" s="1"/>
  <c r="I72" i="4"/>
  <c r="F72" i="4"/>
  <c r="H72" i="4" s="1"/>
  <c r="I71" i="4"/>
  <c r="F71" i="4"/>
  <c r="H71" i="4" s="1"/>
  <c r="I70" i="4"/>
  <c r="F70" i="4"/>
  <c r="H70" i="4" s="1"/>
  <c r="I61" i="4"/>
  <c r="F61" i="4"/>
  <c r="H61" i="4" s="1"/>
  <c r="I140" i="4"/>
  <c r="F140" i="4"/>
  <c r="H140" i="4" s="1"/>
  <c r="F118" i="4"/>
  <c r="H118" i="4" s="1"/>
  <c r="F117" i="4"/>
  <c r="H117" i="4" s="1"/>
  <c r="F116" i="4"/>
  <c r="H116" i="4" s="1"/>
  <c r="I118" i="4"/>
  <c r="I117" i="4"/>
  <c r="I116" i="4"/>
  <c r="I47" i="4"/>
  <c r="F47" i="4"/>
  <c r="H47" i="4" s="1"/>
  <c r="I46" i="4"/>
  <c r="F46" i="4"/>
  <c r="H46" i="4" s="1"/>
  <c r="I45" i="4"/>
  <c r="F45" i="4"/>
  <c r="H45" i="4" s="1"/>
  <c r="I44" i="4"/>
  <c r="F44" i="4"/>
  <c r="H44" i="4" s="1"/>
  <c r="I43" i="4"/>
  <c r="F43" i="4"/>
  <c r="H43" i="4" s="1"/>
  <c r="I42" i="4"/>
  <c r="F42" i="4"/>
  <c r="H42" i="4" s="1"/>
  <c r="I41" i="4"/>
  <c r="F41" i="4"/>
  <c r="H41" i="4" s="1"/>
  <c r="I40" i="4"/>
  <c r="F40" i="4"/>
  <c r="H40" i="4" s="1"/>
  <c r="I39" i="4"/>
  <c r="F39" i="4"/>
  <c r="H39" i="4" s="1"/>
  <c r="I38" i="4"/>
  <c r="F38" i="4"/>
  <c r="H38" i="4" s="1"/>
  <c r="I37" i="4"/>
  <c r="F37" i="4"/>
  <c r="H37" i="4" s="1"/>
  <c r="I36" i="4"/>
  <c r="F36" i="4"/>
  <c r="H36" i="4" s="1"/>
  <c r="I35" i="4"/>
  <c r="F35" i="4"/>
  <c r="H35" i="4" s="1"/>
  <c r="I34" i="4"/>
  <c r="F34" i="4"/>
  <c r="H34" i="4" s="1"/>
  <c r="I33" i="4"/>
  <c r="F33" i="4"/>
  <c r="H33" i="4" s="1"/>
  <c r="I32" i="4"/>
  <c r="F32" i="4"/>
  <c r="H32" i="4" s="1"/>
  <c r="I31" i="4"/>
  <c r="F31" i="4"/>
  <c r="H31" i="4" s="1"/>
  <c r="I30" i="4"/>
  <c r="F30" i="4"/>
  <c r="H30" i="4" s="1"/>
  <c r="I29" i="4"/>
  <c r="F29" i="4"/>
  <c r="H29" i="4" s="1"/>
  <c r="I28" i="4"/>
  <c r="F28" i="4"/>
  <c r="H28" i="4" s="1"/>
  <c r="I27" i="4"/>
  <c r="F27" i="4"/>
  <c r="H27" i="4" s="1"/>
  <c r="I26" i="4"/>
  <c r="F26" i="4"/>
  <c r="H26" i="4" s="1"/>
  <c r="I25" i="4"/>
  <c r="F25" i="4"/>
  <c r="H25" i="4" s="1"/>
  <c r="I23" i="4"/>
  <c r="F23" i="4"/>
  <c r="H23" i="4" s="1"/>
  <c r="F13" i="4"/>
  <c r="H13" i="4" s="1"/>
  <c r="I13" i="4"/>
  <c r="I9" i="4"/>
  <c r="F9" i="4"/>
  <c r="H9" i="4" s="1"/>
  <c r="I8" i="4"/>
  <c r="F8" i="4"/>
  <c r="H8" i="4" s="1"/>
  <c r="I7" i="4"/>
  <c r="F7" i="4"/>
  <c r="H7" i="4" s="1"/>
  <c r="I6" i="4"/>
  <c r="F6" i="4"/>
  <c r="H6" i="4" s="1"/>
  <c r="I5" i="4"/>
  <c r="F5" i="4"/>
  <c r="H5" i="4" s="1"/>
  <c r="I162" i="4"/>
  <c r="F162" i="4"/>
  <c r="H162" i="4" s="1"/>
  <c r="I161" i="4"/>
  <c r="F161" i="4"/>
  <c r="H161" i="4" s="1"/>
  <c r="I139" i="4"/>
  <c r="F139" i="4"/>
  <c r="H139" i="4" s="1"/>
  <c r="I138" i="4"/>
  <c r="F138" i="4"/>
  <c r="H138" i="4" s="1"/>
  <c r="I137" i="4"/>
  <c r="F137" i="4"/>
  <c r="H137" i="4" s="1"/>
  <c r="I136" i="4"/>
  <c r="F136" i="4"/>
  <c r="H136" i="4" s="1"/>
  <c r="I135" i="4"/>
  <c r="F135" i="4"/>
  <c r="H135" i="4" s="1"/>
  <c r="I134" i="4"/>
  <c r="F134" i="4"/>
  <c r="H134" i="4" s="1"/>
  <c r="I133" i="4"/>
  <c r="F133" i="4"/>
  <c r="H133" i="4" s="1"/>
  <c r="I132" i="4"/>
  <c r="F132" i="4"/>
  <c r="H132" i="4" s="1"/>
  <c r="I131" i="4"/>
  <c r="F131" i="4"/>
  <c r="H131" i="4" s="1"/>
  <c r="I130" i="4"/>
  <c r="F130" i="4"/>
  <c r="H130" i="4" s="1"/>
  <c r="I129" i="4"/>
  <c r="F129" i="4"/>
  <c r="H129" i="4" s="1"/>
  <c r="I128" i="4"/>
  <c r="F128" i="4"/>
  <c r="H128" i="4" s="1"/>
  <c r="I127" i="4"/>
  <c r="F127" i="4"/>
  <c r="H127" i="4" s="1"/>
  <c r="I126" i="4"/>
  <c r="F126" i="4"/>
  <c r="H126" i="4" s="1"/>
  <c r="I60" i="4"/>
  <c r="I59" i="4"/>
  <c r="I58" i="4"/>
  <c r="I57" i="4"/>
  <c r="I56" i="4"/>
  <c r="F60" i="4"/>
  <c r="H60" i="4" s="1"/>
  <c r="F59" i="4"/>
  <c r="H59" i="4" s="1"/>
  <c r="F58" i="4"/>
  <c r="H58" i="4" s="1"/>
  <c r="F57" i="4"/>
  <c r="H57" i="4" s="1"/>
  <c r="I153" i="4"/>
  <c r="F153" i="4"/>
  <c r="H153" i="4" s="1"/>
  <c r="I152" i="4"/>
  <c r="F152" i="4"/>
  <c r="H152" i="4" s="1"/>
  <c r="I151" i="4"/>
  <c r="F151" i="4"/>
  <c r="H151" i="4" s="1"/>
  <c r="I150" i="4"/>
  <c r="F150" i="4"/>
  <c r="H150" i="4" s="1"/>
  <c r="I115" i="4"/>
  <c r="F115" i="4"/>
  <c r="H115" i="4" s="1"/>
  <c r="I114" i="4"/>
  <c r="F114" i="4"/>
  <c r="H114" i="4" s="1"/>
  <c r="I113" i="4"/>
  <c r="F113" i="4"/>
  <c r="H113" i="4" s="1"/>
  <c r="I112" i="4"/>
  <c r="F112" i="4"/>
  <c r="H112" i="4" s="1"/>
  <c r="I111" i="4"/>
  <c r="F111" i="4"/>
  <c r="H111" i="4" s="1"/>
  <c r="I110" i="4"/>
  <c r="F110" i="4"/>
  <c r="H110" i="4" s="1"/>
  <c r="I109" i="4"/>
  <c r="F109" i="4"/>
  <c r="H109" i="4" s="1"/>
  <c r="I108" i="4"/>
  <c r="F108" i="4"/>
  <c r="H108" i="4" s="1"/>
  <c r="I107" i="4"/>
  <c r="F107" i="4"/>
  <c r="H107" i="4" s="1"/>
  <c r="I22" i="4"/>
  <c r="F22" i="4"/>
  <c r="H22" i="4" s="1"/>
  <c r="I21" i="4"/>
  <c r="F21" i="4"/>
  <c r="I654" i="3"/>
  <c r="F654" i="3"/>
  <c r="I653" i="3"/>
  <c r="F653" i="3"/>
  <c r="I652" i="3"/>
  <c r="F652" i="3"/>
  <c r="I651" i="3"/>
  <c r="F651" i="3"/>
  <c r="F650" i="3"/>
  <c r="I649" i="3"/>
  <c r="F649" i="3"/>
  <c r="I648" i="3"/>
  <c r="F648" i="3"/>
  <c r="I647" i="3"/>
  <c r="F647" i="3"/>
  <c r="I646" i="3"/>
  <c r="F646" i="3"/>
  <c r="I645" i="3"/>
  <c r="F645" i="3"/>
  <c r="I644" i="3"/>
  <c r="F644" i="3"/>
  <c r="I643" i="3"/>
  <c r="F643" i="3"/>
  <c r="I642" i="3"/>
  <c r="F642" i="3"/>
  <c r="I641" i="3"/>
  <c r="F641" i="3"/>
  <c r="I640" i="3"/>
  <c r="F640" i="3"/>
  <c r="I639" i="3"/>
  <c r="F639" i="3"/>
  <c r="I638" i="3"/>
  <c r="F638" i="3"/>
  <c r="F637" i="3"/>
  <c r="I636" i="3"/>
  <c r="F636" i="3"/>
  <c r="I635" i="3"/>
  <c r="F635" i="3"/>
  <c r="I634" i="3"/>
  <c r="F634" i="3"/>
  <c r="F633" i="3"/>
  <c r="I632" i="3"/>
  <c r="F632" i="3"/>
  <c r="I631" i="3"/>
  <c r="F631" i="3"/>
  <c r="I630" i="3"/>
  <c r="F630" i="3"/>
  <c r="G629" i="3"/>
  <c r="I629" i="3" s="1"/>
  <c r="F629" i="3"/>
  <c r="G628" i="3"/>
  <c r="I628" i="3" s="1"/>
  <c r="F628" i="3"/>
  <c r="G627" i="3"/>
  <c r="I627" i="3" s="1"/>
  <c r="F627" i="3"/>
  <c r="I422" i="3"/>
  <c r="F422" i="3"/>
  <c r="I421" i="3"/>
  <c r="F421" i="3"/>
  <c r="I420" i="3"/>
  <c r="F420" i="3"/>
  <c r="I419" i="3"/>
  <c r="F419" i="3"/>
  <c r="I418" i="3"/>
  <c r="F418" i="3"/>
  <c r="I417" i="3"/>
  <c r="F417" i="3"/>
  <c r="I416" i="3"/>
  <c r="F416" i="3"/>
  <c r="I415" i="3"/>
  <c r="F415" i="3"/>
  <c r="I414" i="3"/>
  <c r="F414" i="3"/>
  <c r="I413" i="3"/>
  <c r="F413" i="3"/>
  <c r="I412" i="3"/>
  <c r="F412" i="3"/>
  <c r="E424" i="3"/>
  <c r="E18" i="7" s="1"/>
  <c r="I278" i="3"/>
  <c r="F278" i="3"/>
  <c r="I277" i="3"/>
  <c r="F277" i="3"/>
  <c r="I276" i="3"/>
  <c r="F276" i="3"/>
  <c r="I275" i="3"/>
  <c r="F275" i="3"/>
  <c r="I274" i="3"/>
  <c r="F274" i="3"/>
  <c r="I273" i="3"/>
  <c r="F273" i="3"/>
  <c r="I272" i="3"/>
  <c r="F272" i="3"/>
  <c r="I271" i="3"/>
  <c r="F271" i="3"/>
  <c r="I270" i="3"/>
  <c r="F270" i="3"/>
  <c r="I269" i="3"/>
  <c r="F269" i="3"/>
  <c r="F268" i="3"/>
  <c r="I267" i="3"/>
  <c r="F267" i="3"/>
  <c r="I266" i="3"/>
  <c r="F266" i="3"/>
  <c r="I265" i="3"/>
  <c r="F265" i="3"/>
  <c r="F264" i="3"/>
  <c r="I263" i="3"/>
  <c r="F263" i="3"/>
  <c r="I262" i="3"/>
  <c r="F262" i="3"/>
  <c r="F261" i="3"/>
  <c r="I260" i="3"/>
  <c r="F260" i="3"/>
  <c r="I192" i="3"/>
  <c r="F192" i="3"/>
  <c r="I191" i="3"/>
  <c r="F191" i="3"/>
  <c r="I190" i="3"/>
  <c r="F190" i="3"/>
  <c r="I189" i="3"/>
  <c r="F189" i="3"/>
  <c r="I188" i="3"/>
  <c r="F188" i="3"/>
  <c r="I187" i="3"/>
  <c r="F187" i="3"/>
  <c r="I186" i="3"/>
  <c r="F186" i="3"/>
  <c r="I185" i="3"/>
  <c r="F185" i="3"/>
  <c r="I184" i="3"/>
  <c r="F184" i="3"/>
  <c r="F183" i="3"/>
  <c r="I182" i="3"/>
  <c r="F182" i="3"/>
  <c r="I181" i="3"/>
  <c r="F181" i="3"/>
  <c r="I180" i="3"/>
  <c r="F180" i="3"/>
  <c r="I179" i="3"/>
  <c r="F179" i="3"/>
  <c r="I178" i="3"/>
  <c r="F178" i="3"/>
  <c r="I177" i="3"/>
  <c r="F177" i="3"/>
  <c r="I176" i="3"/>
  <c r="F176" i="3"/>
  <c r="I175" i="3"/>
  <c r="F175" i="3"/>
  <c r="I174" i="3"/>
  <c r="F174" i="3"/>
  <c r="F173" i="3"/>
  <c r="I172" i="3"/>
  <c r="F172" i="3"/>
  <c r="I171" i="3"/>
  <c r="F171" i="3"/>
  <c r="I170" i="3"/>
  <c r="F170" i="3"/>
  <c r="F169" i="3"/>
  <c r="E375" i="3"/>
  <c r="D18" i="7" s="1"/>
  <c r="I560" i="3"/>
  <c r="F560" i="3"/>
  <c r="I559" i="3"/>
  <c r="F559" i="3"/>
  <c r="F558" i="3"/>
  <c r="I557" i="3"/>
  <c r="F557" i="3"/>
  <c r="I556" i="3"/>
  <c r="F556" i="3"/>
  <c r="F555" i="3"/>
  <c r="I554" i="3"/>
  <c r="F554" i="3"/>
  <c r="I553" i="3"/>
  <c r="F553" i="3"/>
  <c r="I552" i="3"/>
  <c r="F552" i="3"/>
  <c r="F551" i="3"/>
  <c r="I550" i="3"/>
  <c r="F550" i="3"/>
  <c r="G549" i="3"/>
  <c r="I549" i="3" s="1"/>
  <c r="F549" i="3"/>
  <c r="G548" i="3"/>
  <c r="I548" i="3" s="1"/>
  <c r="F548" i="3"/>
  <c r="G547" i="3"/>
  <c r="I547" i="3" s="1"/>
  <c r="F547" i="3"/>
  <c r="G546" i="3"/>
  <c r="I546" i="3" s="1"/>
  <c r="F546" i="3"/>
  <c r="G545" i="3"/>
  <c r="I545" i="3" s="1"/>
  <c r="F545" i="3"/>
  <c r="G544" i="3"/>
  <c r="I544" i="3" s="1"/>
  <c r="F544" i="3"/>
  <c r="G543" i="3"/>
  <c r="I543" i="3" s="1"/>
  <c r="F543" i="3"/>
  <c r="G542" i="3"/>
  <c r="I542" i="3" s="1"/>
  <c r="F542" i="3"/>
  <c r="G541" i="3"/>
  <c r="I541" i="3" s="1"/>
  <c r="F541" i="3"/>
  <c r="F540" i="3"/>
  <c r="F539" i="3"/>
  <c r="F538" i="3"/>
  <c r="I537" i="3"/>
  <c r="F537" i="3"/>
  <c r="I373" i="3"/>
  <c r="F373" i="3"/>
  <c r="I372" i="3"/>
  <c r="F372" i="3"/>
  <c r="F371" i="3"/>
  <c r="I370" i="3"/>
  <c r="F370" i="3"/>
  <c r="I369" i="3"/>
  <c r="F369" i="3"/>
  <c r="F368" i="3"/>
  <c r="F367" i="3"/>
  <c r="I366" i="3"/>
  <c r="F366" i="3"/>
  <c r="I365" i="3"/>
  <c r="F365" i="3"/>
  <c r="I364" i="3"/>
  <c r="F364" i="3"/>
  <c r="F363" i="3"/>
  <c r="I362" i="3"/>
  <c r="F362" i="3"/>
  <c r="I361" i="3"/>
  <c r="F361" i="3"/>
  <c r="I360" i="3"/>
  <c r="F360" i="3"/>
  <c r="I359" i="3"/>
  <c r="F359" i="3"/>
  <c r="F358" i="3"/>
  <c r="I168" i="3"/>
  <c r="F168" i="3"/>
  <c r="I167" i="3"/>
  <c r="F167" i="3"/>
  <c r="I166" i="3"/>
  <c r="F166" i="3"/>
  <c r="I165" i="3"/>
  <c r="F165" i="3"/>
  <c r="I164" i="3"/>
  <c r="F164" i="3"/>
  <c r="I163" i="3"/>
  <c r="F163" i="3"/>
  <c r="F162" i="3"/>
  <c r="I161" i="3"/>
  <c r="F161" i="3"/>
  <c r="I160" i="3"/>
  <c r="F160" i="3"/>
  <c r="I159" i="3"/>
  <c r="F159" i="3"/>
  <c r="I158" i="3"/>
  <c r="F158" i="3"/>
  <c r="I157" i="3"/>
  <c r="F157" i="3"/>
  <c r="I156" i="3"/>
  <c r="F156" i="3"/>
  <c r="I461" i="3"/>
  <c r="F461" i="3"/>
  <c r="I460" i="3"/>
  <c r="F460" i="3"/>
  <c r="I459" i="3"/>
  <c r="F459" i="3"/>
  <c r="G458" i="3"/>
  <c r="I458" i="3" s="1"/>
  <c r="F458" i="3"/>
  <c r="G457" i="3"/>
  <c r="I457" i="3" s="1"/>
  <c r="F457" i="3"/>
  <c r="G456" i="3"/>
  <c r="I456" i="3" s="1"/>
  <c r="F456" i="3"/>
  <c r="G455" i="3"/>
  <c r="I455" i="3" s="1"/>
  <c r="F455" i="3"/>
  <c r="G454" i="3"/>
  <c r="I454" i="3" s="1"/>
  <c r="F454" i="3"/>
  <c r="G453" i="3"/>
  <c r="I453" i="3" s="1"/>
  <c r="F453" i="3"/>
  <c r="G452" i="3"/>
  <c r="I452" i="3" s="1"/>
  <c r="F452" i="3"/>
  <c r="I305" i="3"/>
  <c r="F305" i="3"/>
  <c r="I304" i="3"/>
  <c r="F304" i="3"/>
  <c r="F303" i="3"/>
  <c r="I302" i="3"/>
  <c r="F302" i="3"/>
  <c r="I301" i="3"/>
  <c r="F301" i="3"/>
  <c r="I300" i="3"/>
  <c r="F300" i="3"/>
  <c r="I299" i="3"/>
  <c r="F299" i="3"/>
  <c r="I34" i="3"/>
  <c r="F34" i="3"/>
  <c r="I33" i="3"/>
  <c r="F33" i="3"/>
  <c r="I32" i="3"/>
  <c r="F32" i="3"/>
  <c r="I31" i="3"/>
  <c r="F31" i="3"/>
  <c r="I30" i="3"/>
  <c r="F30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4" i="3"/>
  <c r="G626" i="3"/>
  <c r="I626" i="3" s="1"/>
  <c r="F626" i="3"/>
  <c r="G625" i="3"/>
  <c r="I625" i="3" s="1"/>
  <c r="F625" i="3"/>
  <c r="G624" i="3"/>
  <c r="I624" i="3" s="1"/>
  <c r="F624" i="3"/>
  <c r="G623" i="3"/>
  <c r="I623" i="3" s="1"/>
  <c r="F623" i="3"/>
  <c r="G622" i="3"/>
  <c r="I622" i="3" s="1"/>
  <c r="F622" i="3"/>
  <c r="G621" i="3"/>
  <c r="I621" i="3" s="1"/>
  <c r="F621" i="3"/>
  <c r="G620" i="3"/>
  <c r="I620" i="3" s="1"/>
  <c r="F620" i="3"/>
  <c r="G619" i="3"/>
  <c r="I619" i="3" s="1"/>
  <c r="F619" i="3"/>
  <c r="G618" i="3"/>
  <c r="I618" i="3" s="1"/>
  <c r="F618" i="3"/>
  <c r="G617" i="3"/>
  <c r="I617" i="3" s="1"/>
  <c r="F617" i="3"/>
  <c r="G616" i="3"/>
  <c r="F616" i="3"/>
  <c r="G615" i="3"/>
  <c r="I615" i="3" s="1"/>
  <c r="F615" i="3"/>
  <c r="G614" i="3"/>
  <c r="I614" i="3" s="1"/>
  <c r="F614" i="3"/>
  <c r="F613" i="3"/>
  <c r="I612" i="3"/>
  <c r="F612" i="3"/>
  <c r="I611" i="3"/>
  <c r="F611" i="3"/>
  <c r="I610" i="3"/>
  <c r="F610" i="3"/>
  <c r="F609" i="3"/>
  <c r="I608" i="3"/>
  <c r="F608" i="3"/>
  <c r="I607" i="3"/>
  <c r="F607" i="3"/>
  <c r="F606" i="3"/>
  <c r="F605" i="3"/>
  <c r="I604" i="3"/>
  <c r="F604" i="3"/>
  <c r="I603" i="3"/>
  <c r="F603" i="3"/>
  <c r="I602" i="3"/>
  <c r="F602" i="3"/>
  <c r="F601" i="3"/>
  <c r="I600" i="3"/>
  <c r="F600" i="3"/>
  <c r="I599" i="3"/>
  <c r="F599" i="3"/>
  <c r="I598" i="3"/>
  <c r="F598" i="3"/>
  <c r="I597" i="3"/>
  <c r="F597" i="3"/>
  <c r="I596" i="3"/>
  <c r="F596" i="3"/>
  <c r="G595" i="3"/>
  <c r="I595" i="3" s="1"/>
  <c r="F595" i="3"/>
  <c r="G594" i="3"/>
  <c r="I594" i="3" s="1"/>
  <c r="F594" i="3"/>
  <c r="G593" i="3"/>
  <c r="F593" i="3"/>
  <c r="G592" i="3"/>
  <c r="I592" i="3" s="1"/>
  <c r="F592" i="3"/>
  <c r="G591" i="3"/>
  <c r="I591" i="3" s="1"/>
  <c r="F591" i="3"/>
  <c r="G590" i="3"/>
  <c r="I590" i="3" s="1"/>
  <c r="F590" i="3"/>
  <c r="G589" i="3"/>
  <c r="I589" i="3" s="1"/>
  <c r="F589" i="3"/>
  <c r="G588" i="3"/>
  <c r="I588" i="3" s="1"/>
  <c r="F588" i="3"/>
  <c r="G587" i="3"/>
  <c r="I587" i="3" s="1"/>
  <c r="F587" i="3"/>
  <c r="G586" i="3"/>
  <c r="I586" i="3" s="1"/>
  <c r="F586" i="3"/>
  <c r="F411" i="3"/>
  <c r="I410" i="3"/>
  <c r="F410" i="3"/>
  <c r="I409" i="3"/>
  <c r="F409" i="3"/>
  <c r="I408" i="3"/>
  <c r="F408" i="3"/>
  <c r="I407" i="3"/>
  <c r="F407" i="3"/>
  <c r="F406" i="3"/>
  <c r="I405" i="3"/>
  <c r="F405" i="3"/>
  <c r="F404" i="3"/>
  <c r="I403" i="3"/>
  <c r="F403" i="3"/>
  <c r="I402" i="3"/>
  <c r="F402" i="3"/>
  <c r="I401" i="3"/>
  <c r="F401" i="3"/>
  <c r="I400" i="3"/>
  <c r="F400" i="3"/>
  <c r="I399" i="3"/>
  <c r="F399" i="3"/>
  <c r="I398" i="3"/>
  <c r="F398" i="3"/>
  <c r="I397" i="3"/>
  <c r="F397" i="3"/>
  <c r="I396" i="3"/>
  <c r="F396" i="3"/>
  <c r="I395" i="3"/>
  <c r="F395" i="3"/>
  <c r="I394" i="3"/>
  <c r="F394" i="3"/>
  <c r="I393" i="3"/>
  <c r="F393" i="3"/>
  <c r="I392" i="3"/>
  <c r="F392" i="3"/>
  <c r="I391" i="3"/>
  <c r="F391" i="3"/>
  <c r="I390" i="3"/>
  <c r="F390" i="3"/>
  <c r="I389" i="3"/>
  <c r="F389" i="3"/>
  <c r="I259" i="3"/>
  <c r="F259" i="3"/>
  <c r="I258" i="3"/>
  <c r="F258" i="3"/>
  <c r="I257" i="3"/>
  <c r="F257" i="3"/>
  <c r="I256" i="3"/>
  <c r="F256" i="3"/>
  <c r="I255" i="3"/>
  <c r="F255" i="3"/>
  <c r="I254" i="3"/>
  <c r="F254" i="3"/>
  <c r="I253" i="3"/>
  <c r="F253" i="3"/>
  <c r="I252" i="3"/>
  <c r="F252" i="3"/>
  <c r="I251" i="3"/>
  <c r="F251" i="3"/>
  <c r="F250" i="3"/>
  <c r="I249" i="3"/>
  <c r="F249" i="3"/>
  <c r="I248" i="3"/>
  <c r="F248" i="3"/>
  <c r="I247" i="3"/>
  <c r="F247" i="3"/>
  <c r="I246" i="3"/>
  <c r="F246" i="3"/>
  <c r="I245" i="3"/>
  <c r="F245" i="3"/>
  <c r="I244" i="3"/>
  <c r="F244" i="3"/>
  <c r="I243" i="3"/>
  <c r="F243" i="3"/>
  <c r="I242" i="3"/>
  <c r="F242" i="3"/>
  <c r="I241" i="3"/>
  <c r="F241" i="3"/>
  <c r="I240" i="3"/>
  <c r="F240" i="3"/>
  <c r="I239" i="3"/>
  <c r="F239" i="3"/>
  <c r="I238" i="3"/>
  <c r="F238" i="3"/>
  <c r="I237" i="3"/>
  <c r="F237" i="3"/>
  <c r="I236" i="3"/>
  <c r="F236" i="3"/>
  <c r="I235" i="3"/>
  <c r="F235" i="3"/>
  <c r="I234" i="3"/>
  <c r="F234" i="3"/>
  <c r="F233" i="3"/>
  <c r="I536" i="3"/>
  <c r="F536" i="3"/>
  <c r="I535" i="3"/>
  <c r="F535" i="3"/>
  <c r="I534" i="3"/>
  <c r="F534" i="3"/>
  <c r="I533" i="3"/>
  <c r="F533" i="3"/>
  <c r="I532" i="3"/>
  <c r="F532" i="3"/>
  <c r="I531" i="3"/>
  <c r="F531" i="3"/>
  <c r="I530" i="3"/>
  <c r="F530" i="3"/>
  <c r="F529" i="3"/>
  <c r="I528" i="3"/>
  <c r="F528" i="3"/>
  <c r="I527" i="3"/>
  <c r="F527" i="3"/>
  <c r="I526" i="3"/>
  <c r="F526" i="3"/>
  <c r="I525" i="3"/>
  <c r="F525" i="3"/>
  <c r="I524" i="3"/>
  <c r="F524" i="3"/>
  <c r="G523" i="3"/>
  <c r="I523" i="3" s="1"/>
  <c r="F523" i="3"/>
  <c r="G522" i="3"/>
  <c r="I522" i="3" s="1"/>
  <c r="F522" i="3"/>
  <c r="G521" i="3"/>
  <c r="I521" i="3" s="1"/>
  <c r="F521" i="3"/>
  <c r="G520" i="3"/>
  <c r="I520" i="3" s="1"/>
  <c r="F520" i="3"/>
  <c r="G519" i="3"/>
  <c r="I519" i="3" s="1"/>
  <c r="F519" i="3"/>
  <c r="G518" i="3"/>
  <c r="I518" i="3" s="1"/>
  <c r="F518" i="3"/>
  <c r="G517" i="3"/>
  <c r="I517" i="3" s="1"/>
  <c r="F517" i="3"/>
  <c r="G516" i="3"/>
  <c r="I516" i="3" s="1"/>
  <c r="F516" i="3"/>
  <c r="G515" i="3"/>
  <c r="I515" i="3" s="1"/>
  <c r="F515" i="3"/>
  <c r="G514" i="3"/>
  <c r="F514" i="3"/>
  <c r="G513" i="3"/>
  <c r="I513" i="3" s="1"/>
  <c r="F513" i="3"/>
  <c r="G512" i="3"/>
  <c r="I512" i="3" s="1"/>
  <c r="F512" i="3"/>
  <c r="G511" i="3"/>
  <c r="I511" i="3" s="1"/>
  <c r="F511" i="3"/>
  <c r="G510" i="3"/>
  <c r="I510" i="3" s="1"/>
  <c r="F510" i="3"/>
  <c r="I509" i="3"/>
  <c r="F509" i="3"/>
  <c r="I508" i="3"/>
  <c r="F508" i="3"/>
  <c r="I507" i="3"/>
  <c r="F507" i="3"/>
  <c r="I506" i="3"/>
  <c r="F506" i="3"/>
  <c r="I505" i="3"/>
  <c r="F505" i="3"/>
  <c r="I504" i="3"/>
  <c r="F504" i="3"/>
  <c r="I503" i="3"/>
  <c r="F503" i="3"/>
  <c r="I502" i="3"/>
  <c r="F502" i="3"/>
  <c r="I501" i="3"/>
  <c r="F501" i="3"/>
  <c r="I500" i="3"/>
  <c r="F500" i="3"/>
  <c r="F499" i="3"/>
  <c r="I498" i="3"/>
  <c r="F498" i="3"/>
  <c r="I497" i="3"/>
  <c r="F497" i="3"/>
  <c r="I496" i="3"/>
  <c r="F496" i="3"/>
  <c r="I495" i="3"/>
  <c r="F495" i="3"/>
  <c r="I494" i="3"/>
  <c r="F494" i="3"/>
  <c r="I493" i="3"/>
  <c r="F493" i="3"/>
  <c r="F357" i="3"/>
  <c r="F356" i="3"/>
  <c r="I355" i="3"/>
  <c r="F355" i="3"/>
  <c r="I354" i="3"/>
  <c r="F354" i="3"/>
  <c r="I353" i="3"/>
  <c r="F353" i="3"/>
  <c r="I352" i="3"/>
  <c r="F352" i="3"/>
  <c r="I351" i="3"/>
  <c r="F351" i="3"/>
  <c r="I350" i="3"/>
  <c r="F350" i="3"/>
  <c r="I349" i="3"/>
  <c r="F349" i="3"/>
  <c r="F348" i="3"/>
  <c r="F347" i="3"/>
  <c r="I346" i="3"/>
  <c r="F346" i="3"/>
  <c r="I345" i="3"/>
  <c r="F345" i="3"/>
  <c r="F344" i="3"/>
  <c r="I343" i="3"/>
  <c r="F343" i="3"/>
  <c r="I342" i="3"/>
  <c r="F342" i="3"/>
  <c r="I341" i="3"/>
  <c r="F341" i="3"/>
  <c r="I340" i="3"/>
  <c r="F340" i="3"/>
  <c r="I339" i="3"/>
  <c r="F339" i="3"/>
  <c r="I338" i="3"/>
  <c r="F338" i="3"/>
  <c r="I337" i="3"/>
  <c r="F337" i="3"/>
  <c r="I336" i="3"/>
  <c r="F336" i="3"/>
  <c r="I335" i="3"/>
  <c r="F335" i="3"/>
  <c r="I334" i="3"/>
  <c r="F334" i="3"/>
  <c r="I333" i="3"/>
  <c r="F333" i="3"/>
  <c r="F332" i="3"/>
  <c r="I331" i="3"/>
  <c r="F331" i="3"/>
  <c r="I330" i="3"/>
  <c r="F330" i="3"/>
  <c r="I329" i="3"/>
  <c r="F329" i="3"/>
  <c r="I328" i="3"/>
  <c r="F328" i="3"/>
  <c r="I327" i="3"/>
  <c r="F327" i="3"/>
  <c r="I326" i="3"/>
  <c r="F326" i="3"/>
  <c r="I325" i="3"/>
  <c r="F325" i="3"/>
  <c r="I154" i="3"/>
  <c r="I153" i="3"/>
  <c r="F155" i="3"/>
  <c r="F154" i="3"/>
  <c r="F153" i="3"/>
  <c r="I152" i="3"/>
  <c r="F152" i="3"/>
  <c r="I151" i="3"/>
  <c r="F151" i="3"/>
  <c r="F150" i="3"/>
  <c r="I149" i="3"/>
  <c r="F149" i="3"/>
  <c r="I148" i="3"/>
  <c r="F148" i="3"/>
  <c r="I147" i="3"/>
  <c r="F147" i="3"/>
  <c r="I146" i="3"/>
  <c r="F146" i="3"/>
  <c r="F145" i="3"/>
  <c r="I144" i="3"/>
  <c r="F144" i="3"/>
  <c r="F143" i="3"/>
  <c r="I142" i="3"/>
  <c r="F142" i="3"/>
  <c r="I141" i="3"/>
  <c r="F141" i="3"/>
  <c r="I140" i="3"/>
  <c r="F140" i="3"/>
  <c r="I139" i="3"/>
  <c r="F139" i="3"/>
  <c r="I138" i="3"/>
  <c r="F138" i="3"/>
  <c r="I137" i="3"/>
  <c r="F137" i="3"/>
  <c r="I136" i="3"/>
  <c r="F136" i="3"/>
  <c r="I135" i="3"/>
  <c r="F135" i="3"/>
  <c r="I134" i="3"/>
  <c r="F134" i="3"/>
  <c r="I133" i="3"/>
  <c r="F133" i="3"/>
  <c r="I132" i="3"/>
  <c r="F132" i="3"/>
  <c r="I131" i="3"/>
  <c r="F131" i="3"/>
  <c r="I130" i="3"/>
  <c r="F130" i="3"/>
  <c r="I129" i="3"/>
  <c r="F129" i="3"/>
  <c r="I128" i="3"/>
  <c r="F128" i="3"/>
  <c r="I127" i="3"/>
  <c r="F127" i="3"/>
  <c r="I126" i="3"/>
  <c r="F126" i="3"/>
  <c r="F125" i="3"/>
  <c r="I124" i="3"/>
  <c r="F124" i="3"/>
  <c r="I123" i="3"/>
  <c r="F123" i="3"/>
  <c r="I122" i="3"/>
  <c r="F122" i="3"/>
  <c r="I121" i="3"/>
  <c r="F121" i="3"/>
  <c r="I120" i="3"/>
  <c r="F120" i="3"/>
  <c r="I119" i="3"/>
  <c r="F119" i="3"/>
  <c r="F118" i="3"/>
  <c r="I117" i="3"/>
  <c r="F117" i="3"/>
  <c r="I116" i="3"/>
  <c r="F116" i="3"/>
  <c r="I115" i="3"/>
  <c r="F115" i="3"/>
  <c r="I114" i="3"/>
  <c r="F114" i="3"/>
  <c r="I113" i="3"/>
  <c r="F113" i="3"/>
  <c r="I112" i="3"/>
  <c r="F112" i="3"/>
  <c r="I111" i="3"/>
  <c r="F111" i="3"/>
  <c r="I110" i="3"/>
  <c r="F110" i="3"/>
  <c r="F109" i="3"/>
  <c r="I108" i="3"/>
  <c r="F108" i="3"/>
  <c r="I107" i="3"/>
  <c r="F107" i="3"/>
  <c r="I106" i="3"/>
  <c r="F106" i="3"/>
  <c r="F105" i="3"/>
  <c r="I104" i="3"/>
  <c r="F104" i="3"/>
  <c r="I103" i="3"/>
  <c r="F103" i="3"/>
  <c r="F102" i="3"/>
  <c r="I101" i="3"/>
  <c r="F101" i="3"/>
  <c r="I100" i="3"/>
  <c r="F100" i="3"/>
  <c r="I99" i="3"/>
  <c r="F99" i="3"/>
  <c r="I98" i="3"/>
  <c r="F98" i="3"/>
  <c r="F97" i="3"/>
  <c r="I96" i="3"/>
  <c r="F96" i="3"/>
  <c r="I95" i="3"/>
  <c r="F95" i="3"/>
  <c r="I94" i="3"/>
  <c r="F94" i="3"/>
  <c r="I93" i="3"/>
  <c r="F93" i="3"/>
  <c r="I92" i="3"/>
  <c r="F92" i="3"/>
  <c r="I450" i="3"/>
  <c r="I449" i="3"/>
  <c r="I448" i="3"/>
  <c r="I447" i="3"/>
  <c r="I446" i="3"/>
  <c r="G445" i="3"/>
  <c r="I445" i="3" s="1"/>
  <c r="G444" i="3"/>
  <c r="I444" i="3" s="1"/>
  <c r="G443" i="3"/>
  <c r="I443" i="3" s="1"/>
  <c r="G442" i="3"/>
  <c r="I442" i="3" s="1"/>
  <c r="G441" i="3"/>
  <c r="I441" i="3" s="1"/>
  <c r="I440" i="3"/>
  <c r="I439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I298" i="3"/>
  <c r="F298" i="3"/>
  <c r="I297" i="3"/>
  <c r="F297" i="3"/>
  <c r="I296" i="3"/>
  <c r="F296" i="3"/>
  <c r="I295" i="3"/>
  <c r="F295" i="3"/>
  <c r="I294" i="3"/>
  <c r="F294" i="3"/>
  <c r="I293" i="3"/>
  <c r="F293" i="3"/>
  <c r="I292" i="3"/>
  <c r="F292" i="3"/>
  <c r="I291" i="3"/>
  <c r="F291" i="3"/>
  <c r="I290" i="3"/>
  <c r="F290" i="3"/>
  <c r="I20" i="3"/>
  <c r="I19" i="3"/>
  <c r="I18" i="3"/>
  <c r="I17" i="3"/>
  <c r="I16" i="3"/>
  <c r="I15" i="3"/>
  <c r="I14" i="3"/>
  <c r="F20" i="3"/>
  <c r="F19" i="3"/>
  <c r="F18" i="3"/>
  <c r="F17" i="3"/>
  <c r="F16" i="3"/>
  <c r="F15" i="3"/>
  <c r="F14" i="3"/>
  <c r="I585" i="3"/>
  <c r="F585" i="3"/>
  <c r="I584" i="3"/>
  <c r="F584" i="3"/>
  <c r="I583" i="3"/>
  <c r="F583" i="3"/>
  <c r="F582" i="3"/>
  <c r="I581" i="3"/>
  <c r="F581" i="3"/>
  <c r="I580" i="3"/>
  <c r="F580" i="3"/>
  <c r="F579" i="3"/>
  <c r="I578" i="3"/>
  <c r="F578" i="3"/>
  <c r="I577" i="3"/>
  <c r="F577" i="3"/>
  <c r="I576" i="3"/>
  <c r="F576" i="3"/>
  <c r="G575" i="3"/>
  <c r="I575" i="3" s="1"/>
  <c r="F575" i="3"/>
  <c r="G574" i="3"/>
  <c r="F574" i="3"/>
  <c r="G573" i="3"/>
  <c r="I573" i="3" s="1"/>
  <c r="F573" i="3"/>
  <c r="G572" i="3"/>
  <c r="I572" i="3" s="1"/>
  <c r="F572" i="3"/>
  <c r="G571" i="3"/>
  <c r="I571" i="3" s="1"/>
  <c r="F571" i="3"/>
  <c r="G570" i="3"/>
  <c r="I570" i="3" s="1"/>
  <c r="F570" i="3"/>
  <c r="G569" i="3"/>
  <c r="I569" i="3" s="1"/>
  <c r="F569" i="3"/>
  <c r="G568" i="3"/>
  <c r="I568" i="3" s="1"/>
  <c r="F568" i="3"/>
  <c r="G567" i="3"/>
  <c r="I567" i="3" s="1"/>
  <c r="I388" i="3"/>
  <c r="I387" i="3"/>
  <c r="I386" i="3"/>
  <c r="I385" i="3"/>
  <c r="I384" i="3"/>
  <c r="I383" i="3"/>
  <c r="I381" i="3"/>
  <c r="I380" i="3"/>
  <c r="F388" i="3"/>
  <c r="F387" i="3"/>
  <c r="F386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I232" i="3"/>
  <c r="I231" i="3"/>
  <c r="I228" i="3"/>
  <c r="I227" i="3"/>
  <c r="I226" i="3"/>
  <c r="I224" i="3"/>
  <c r="I223" i="3"/>
  <c r="I222" i="3"/>
  <c r="I221" i="3"/>
  <c r="I220" i="3"/>
  <c r="I219" i="3"/>
  <c r="I218" i="3"/>
  <c r="I217" i="3"/>
  <c r="I216" i="3"/>
  <c r="I215" i="3"/>
  <c r="I214" i="3"/>
  <c r="I212" i="3"/>
  <c r="I211" i="3"/>
  <c r="I210" i="3"/>
  <c r="I208" i="3"/>
  <c r="I207" i="3"/>
  <c r="I206" i="3"/>
  <c r="I205" i="3"/>
  <c r="I202" i="3"/>
  <c r="I201" i="3"/>
  <c r="I200" i="3"/>
  <c r="I199" i="3"/>
  <c r="G492" i="3"/>
  <c r="I492" i="3" s="1"/>
  <c r="G491" i="3"/>
  <c r="I491" i="3" s="1"/>
  <c r="G490" i="3"/>
  <c r="I490" i="3" s="1"/>
  <c r="G489" i="3"/>
  <c r="I489" i="3" s="1"/>
  <c r="G488" i="3"/>
  <c r="I488" i="3" s="1"/>
  <c r="G487" i="3"/>
  <c r="I487" i="3" s="1"/>
  <c r="G486" i="3"/>
  <c r="I486" i="3" s="1"/>
  <c r="G485" i="3"/>
  <c r="G484" i="3"/>
  <c r="I484" i="3" s="1"/>
  <c r="G483" i="3"/>
  <c r="I483" i="3" s="1"/>
  <c r="G482" i="3"/>
  <c r="I482" i="3" s="1"/>
  <c r="G481" i="3"/>
  <c r="I481" i="3" s="1"/>
  <c r="G480" i="3"/>
  <c r="I480" i="3" s="1"/>
  <c r="G479" i="3"/>
  <c r="I479" i="3" s="1"/>
  <c r="G478" i="3"/>
  <c r="I478" i="3" s="1"/>
  <c r="G477" i="3"/>
  <c r="I477" i="3" s="1"/>
  <c r="G476" i="3"/>
  <c r="I476" i="3" s="1"/>
  <c r="G475" i="3"/>
  <c r="I475" i="3" s="1"/>
  <c r="G474" i="3"/>
  <c r="I474" i="3" s="1"/>
  <c r="G473" i="3"/>
  <c r="I473" i="3" s="1"/>
  <c r="G472" i="3"/>
  <c r="I472" i="3" s="1"/>
  <c r="G471" i="3"/>
  <c r="I471" i="3" s="1"/>
  <c r="G470" i="3"/>
  <c r="I470" i="3" s="1"/>
  <c r="G469" i="3"/>
  <c r="I469" i="3" s="1"/>
  <c r="G468" i="3"/>
  <c r="I468" i="3" s="1"/>
  <c r="I324" i="3"/>
  <c r="I323" i="3"/>
  <c r="I322" i="3"/>
  <c r="I321" i="3"/>
  <c r="I320" i="3"/>
  <c r="I318" i="3"/>
  <c r="I317" i="3"/>
  <c r="I316" i="3"/>
  <c r="I315" i="3"/>
  <c r="I314" i="3"/>
  <c r="I313" i="3"/>
  <c r="F324" i="3"/>
  <c r="H324" i="3" s="1"/>
  <c r="F323" i="3"/>
  <c r="F322" i="3"/>
  <c r="F321" i="3"/>
  <c r="F320" i="3"/>
  <c r="H320" i="3" s="1"/>
  <c r="F319" i="3"/>
  <c r="F318" i="3"/>
  <c r="F317" i="3"/>
  <c r="F316" i="3"/>
  <c r="I91" i="3"/>
  <c r="I90" i="3"/>
  <c r="I89" i="3"/>
  <c r="I88" i="3"/>
  <c r="I87" i="3"/>
  <c r="I86" i="3"/>
  <c r="I85" i="3"/>
  <c r="I83" i="3"/>
  <c r="I82" i="3"/>
  <c r="I81" i="3"/>
  <c r="I80" i="3"/>
  <c r="I79" i="3"/>
  <c r="I78" i="3"/>
  <c r="I77" i="3"/>
  <c r="I76" i="3"/>
  <c r="I75" i="3"/>
  <c r="I74" i="3"/>
  <c r="I73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I289" i="3"/>
  <c r="I288" i="3"/>
  <c r="I287" i="3"/>
  <c r="G438" i="3"/>
  <c r="I438" i="3" s="1"/>
  <c r="G437" i="3"/>
  <c r="I437" i="3" s="1"/>
  <c r="G436" i="3"/>
  <c r="I436" i="3" s="1"/>
  <c r="G435" i="3"/>
  <c r="I435" i="3" s="1"/>
  <c r="G434" i="3"/>
  <c r="I434" i="3" s="1"/>
  <c r="G433" i="3"/>
  <c r="I433" i="3" s="1"/>
  <c r="G432" i="3"/>
  <c r="I432" i="3" s="1"/>
  <c r="G431" i="3"/>
  <c r="I431" i="3" s="1"/>
  <c r="F438" i="3"/>
  <c r="F437" i="3"/>
  <c r="F436" i="3"/>
  <c r="F435" i="3"/>
  <c r="F434" i="3"/>
  <c r="F433" i="3"/>
  <c r="F432" i="3"/>
  <c r="F431" i="3"/>
  <c r="F289" i="3"/>
  <c r="I13" i="3"/>
  <c r="I12" i="3"/>
  <c r="I11" i="3"/>
  <c r="I10" i="3"/>
  <c r="I9" i="3"/>
  <c r="I8" i="3"/>
  <c r="I7" i="3"/>
  <c r="I6" i="3"/>
  <c r="I5" i="3"/>
  <c r="F13" i="3"/>
  <c r="F12" i="3"/>
  <c r="F11" i="3"/>
  <c r="F10" i="3"/>
  <c r="F9" i="3"/>
  <c r="F8" i="3"/>
  <c r="F7" i="3"/>
  <c r="F6" i="3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C20" i="16"/>
  <c r="B33" i="10"/>
  <c r="B25" i="10"/>
  <c r="B17" i="10"/>
  <c r="B35" i="10" s="1"/>
  <c r="F191" i="15"/>
  <c r="G191" i="15" s="1"/>
  <c r="F189" i="15"/>
  <c r="G189" i="15" s="1"/>
  <c r="F187" i="15"/>
  <c r="G187" i="15" s="1"/>
  <c r="F185" i="15"/>
  <c r="G185" i="15" s="1"/>
  <c r="F183" i="15"/>
  <c r="G183" i="15" s="1"/>
  <c r="F206" i="15"/>
  <c r="G206" i="15" s="1"/>
  <c r="F204" i="15"/>
  <c r="G204" i="15" s="1"/>
  <c r="F202" i="15"/>
  <c r="G202" i="15" s="1"/>
  <c r="F200" i="15"/>
  <c r="G200" i="15" s="1"/>
  <c r="F198" i="15"/>
  <c r="G198" i="15" s="1"/>
  <c r="F196" i="15"/>
  <c r="G196" i="15" s="1"/>
  <c r="F194" i="15"/>
  <c r="G194" i="15" s="1"/>
  <c r="F192" i="15"/>
  <c r="G192" i="15" s="1"/>
  <c r="F208" i="15"/>
  <c r="G208" i="15" s="1"/>
  <c r="F21" i="15"/>
  <c r="G21" i="15" s="1"/>
  <c r="F39" i="15"/>
  <c r="G39" i="15" s="1"/>
  <c r="F40" i="15"/>
  <c r="G40" i="15" s="1"/>
  <c r="F41" i="15"/>
  <c r="G41" i="15" s="1"/>
  <c r="F42" i="15"/>
  <c r="G42" i="15" s="1"/>
  <c r="F43" i="15"/>
  <c r="G43" i="15" s="1"/>
  <c r="F44" i="15"/>
  <c r="G44" i="15" s="1"/>
  <c r="F45" i="15"/>
  <c r="G45" i="15" s="1"/>
  <c r="F46" i="15"/>
  <c r="G46" i="15" s="1"/>
  <c r="F47" i="15"/>
  <c r="G47" i="15" s="1"/>
  <c r="F48" i="15"/>
  <c r="G48" i="15" s="1"/>
  <c r="F49" i="15"/>
  <c r="G49" i="15" s="1"/>
  <c r="F50" i="15"/>
  <c r="G50" i="15" s="1"/>
  <c r="F51" i="15"/>
  <c r="G51" i="15" s="1"/>
  <c r="F160" i="4"/>
  <c r="H160" i="4" s="1"/>
  <c r="F149" i="4"/>
  <c r="H149" i="4" s="1"/>
  <c r="F125" i="4"/>
  <c r="H125" i="4" s="1"/>
  <c r="F56" i="4"/>
  <c r="F4" i="4"/>
  <c r="H4" i="4" s="1"/>
  <c r="F314" i="3"/>
  <c r="F477" i="3"/>
  <c r="F476" i="3"/>
  <c r="F475" i="3"/>
  <c r="F474" i="3"/>
  <c r="F473" i="3"/>
  <c r="F472" i="3"/>
  <c r="F471" i="3"/>
  <c r="F470" i="3"/>
  <c r="F469" i="3"/>
  <c r="F468" i="3"/>
  <c r="F315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567" i="3"/>
  <c r="F313" i="3"/>
  <c r="F385" i="3"/>
  <c r="F384" i="3"/>
  <c r="F383" i="3"/>
  <c r="F382" i="3"/>
  <c r="F381" i="3"/>
  <c r="F380" i="3"/>
  <c r="F288" i="3"/>
  <c r="F287" i="3"/>
  <c r="F203" i="3"/>
  <c r="F202" i="3"/>
  <c r="F201" i="3"/>
  <c r="F200" i="3"/>
  <c r="F199" i="3"/>
  <c r="F49" i="3"/>
  <c r="F48" i="3"/>
  <c r="F47" i="3"/>
  <c r="F46" i="3"/>
  <c r="F45" i="3"/>
  <c r="F44" i="3"/>
  <c r="F43" i="3"/>
  <c r="F42" i="3"/>
  <c r="F41" i="3"/>
  <c r="F5" i="3"/>
  <c r="F4" i="3"/>
  <c r="E280" i="3"/>
  <c r="E11" i="7" s="1"/>
  <c r="E656" i="3"/>
  <c r="I125" i="4"/>
  <c r="I160" i="4"/>
  <c r="F433" i="15"/>
  <c r="G433" i="15" s="1"/>
  <c r="F435" i="15"/>
  <c r="G435" i="15" s="1"/>
  <c r="F583" i="15"/>
  <c r="G583" i="15" s="1"/>
  <c r="E194" i="3"/>
  <c r="D11" i="7" s="1"/>
  <c r="E668" i="3"/>
  <c r="D32" i="7" s="1"/>
  <c r="I149" i="4"/>
  <c r="F330" i="15"/>
  <c r="G330" i="15" s="1"/>
  <c r="F388" i="15"/>
  <c r="G388" i="15"/>
  <c r="F484" i="15"/>
  <c r="G484" i="15" s="1"/>
  <c r="F679" i="15"/>
  <c r="G679" i="15" s="1"/>
  <c r="F682" i="15"/>
  <c r="G682" i="15" s="1"/>
  <c r="E36" i="3"/>
  <c r="C11" i="7" s="1"/>
  <c r="E308" i="3"/>
  <c r="C18" i="7" s="1"/>
  <c r="E463" i="3"/>
  <c r="C25" i="7" s="1"/>
  <c r="C49" i="7"/>
  <c r="I4" i="4"/>
  <c r="F304" i="15"/>
  <c r="G304" i="15" s="1"/>
  <c r="F320" i="15"/>
  <c r="G320" i="15" s="1"/>
  <c r="F321" i="15"/>
  <c r="G321" i="15" s="1"/>
  <c r="F322" i="15"/>
  <c r="G322" i="15" s="1"/>
  <c r="F14" i="11"/>
  <c r="B47" i="7" s="1"/>
  <c r="F13" i="11"/>
  <c r="F15" i="11"/>
  <c r="D16" i="10"/>
  <c r="E16" i="10" s="1"/>
  <c r="D12" i="10"/>
  <c r="E12" i="10" s="1"/>
  <c r="D13" i="10"/>
  <c r="E13" i="10"/>
  <c r="D14" i="10"/>
  <c r="E14" i="10"/>
  <c r="D15" i="10"/>
  <c r="E15" i="10"/>
  <c r="E164" i="4"/>
  <c r="E155" i="4"/>
  <c r="E49" i="4"/>
  <c r="E15" i="4"/>
  <c r="E99" i="4"/>
  <c r="E142" i="4"/>
  <c r="E120" i="4"/>
  <c r="C35" i="7"/>
  <c r="D20" i="10"/>
  <c r="E20" i="10"/>
  <c r="D21" i="10"/>
  <c r="E21" i="10"/>
  <c r="D22" i="10"/>
  <c r="E22" i="10"/>
  <c r="D23" i="10"/>
  <c r="E23" i="10"/>
  <c r="D24" i="10"/>
  <c r="E24" i="10"/>
  <c r="D28" i="10"/>
  <c r="E28" i="10"/>
  <c r="D29" i="10"/>
  <c r="E29" i="10"/>
  <c r="D30" i="10"/>
  <c r="E30" i="10"/>
  <c r="D31" i="10"/>
  <c r="E31" i="10"/>
  <c r="D32" i="10"/>
  <c r="E32" i="10" s="1"/>
  <c r="E53" i="15"/>
  <c r="E211" i="15"/>
  <c r="E297" i="15"/>
  <c r="E324" i="15"/>
  <c r="E391" i="15"/>
  <c r="E440" i="15"/>
  <c r="E479" i="15"/>
  <c r="E578" i="15"/>
  <c r="E672" i="15"/>
  <c r="E684" i="15"/>
  <c r="E687" i="15" s="1"/>
  <c r="B49" i="7"/>
  <c r="F16" i="11"/>
  <c r="E25" i="10"/>
  <c r="F23" i="10" s="1"/>
  <c r="F25" i="10" s="1"/>
  <c r="F20" i="10"/>
  <c r="C47" i="7"/>
  <c r="D49" i="7"/>
  <c r="E49" i="7"/>
  <c r="F586" i="15"/>
  <c r="G586" i="15" s="1"/>
  <c r="F584" i="15"/>
  <c r="G584" i="15" s="1"/>
  <c r="F585" i="15"/>
  <c r="G585" i="15" s="1"/>
  <c r="E43" i="7"/>
  <c r="E51" i="7" s="1"/>
  <c r="D43" i="7"/>
  <c r="D51" i="7" s="1"/>
  <c r="C43" i="7"/>
  <c r="C51" i="7" s="1"/>
  <c r="B43" i="7"/>
  <c r="B51" i="7" s="1"/>
  <c r="F24" i="10"/>
  <c r="C41" i="7"/>
  <c r="B41" i="7"/>
  <c r="E41" i="7"/>
  <c r="D41" i="7"/>
  <c r="F22" i="10"/>
  <c r="F21" i="10"/>
  <c r="F216" i="15"/>
  <c r="G216" i="15" s="1"/>
  <c r="F396" i="15"/>
  <c r="G396" i="15" s="1"/>
  <c r="F434" i="15"/>
  <c r="G434" i="15" s="1"/>
  <c r="F436" i="15"/>
  <c r="G436" i="15" s="1"/>
  <c r="F438" i="15"/>
  <c r="G438" i="15" s="1"/>
  <c r="F437" i="15"/>
  <c r="G437" i="15" s="1"/>
  <c r="F190" i="15"/>
  <c r="G190" i="15" s="1"/>
  <c r="F188" i="15"/>
  <c r="G188" i="15" s="1"/>
  <c r="F186" i="15"/>
  <c r="G186" i="15" s="1"/>
  <c r="F184" i="15"/>
  <c r="G184" i="15" s="1"/>
  <c r="F207" i="15"/>
  <c r="G207" i="15" s="1"/>
  <c r="F205" i="15"/>
  <c r="G205" i="15" s="1"/>
  <c r="F203" i="15"/>
  <c r="G203" i="15" s="1"/>
  <c r="F201" i="15"/>
  <c r="G201" i="15" s="1"/>
  <c r="F199" i="15"/>
  <c r="G199" i="15" s="1"/>
  <c r="F197" i="15"/>
  <c r="G197" i="15" s="1"/>
  <c r="F195" i="15"/>
  <c r="G195" i="15" s="1"/>
  <c r="F193" i="15"/>
  <c r="G193" i="15" s="1"/>
  <c r="F209" i="15"/>
  <c r="G209" i="15" s="1"/>
  <c r="F58" i="15"/>
  <c r="G58" i="15" s="1"/>
  <c r="F329" i="15"/>
  <c r="G329" i="15" s="1"/>
  <c r="F387" i="15"/>
  <c r="G387" i="15" s="1"/>
  <c r="F389" i="15"/>
  <c r="G389" i="15" s="1"/>
  <c r="H663" i="3" l="1"/>
  <c r="E17" i="10"/>
  <c r="F12" i="10" s="1"/>
  <c r="E33" i="10"/>
  <c r="E47" i="7"/>
  <c r="D47" i="7"/>
  <c r="E671" i="3"/>
  <c r="E674" i="15"/>
  <c r="E442" i="15"/>
  <c r="E299" i="15"/>
  <c r="G479" i="15"/>
  <c r="G391" i="15"/>
  <c r="G324" i="15"/>
  <c r="G684" i="15"/>
  <c r="G687" i="15" s="1"/>
  <c r="G53" i="15"/>
  <c r="G211" i="15"/>
  <c r="G440" i="15"/>
  <c r="G297" i="15"/>
  <c r="G578" i="15"/>
  <c r="G672" i="15"/>
  <c r="E166" i="4"/>
  <c r="E144" i="4"/>
  <c r="I120" i="4"/>
  <c r="I164" i="4"/>
  <c r="I99" i="4"/>
  <c r="I142" i="4"/>
  <c r="I49" i="4"/>
  <c r="I155" i="4"/>
  <c r="E101" i="4"/>
  <c r="H15" i="4"/>
  <c r="H56" i="4"/>
  <c r="H99" i="4" s="1"/>
  <c r="I15" i="4"/>
  <c r="H21" i="4"/>
  <c r="H49" i="4" s="1"/>
  <c r="H164" i="4"/>
  <c r="H120" i="4"/>
  <c r="H142" i="4"/>
  <c r="H155" i="4"/>
  <c r="H664" i="3"/>
  <c r="H103" i="3"/>
  <c r="H666" i="3"/>
  <c r="H668" i="3" s="1"/>
  <c r="H486" i="3"/>
  <c r="H470" i="3"/>
  <c r="H186" i="3"/>
  <c r="H190" i="3"/>
  <c r="H500" i="3"/>
  <c r="H187" i="3"/>
  <c r="H189" i="3"/>
  <c r="H274" i="3"/>
  <c r="H278" i="3"/>
  <c r="H106" i="3"/>
  <c r="H287" i="3"/>
  <c r="H572" i="3"/>
  <c r="H483" i="3"/>
  <c r="H201" i="3"/>
  <c r="H624" i="3"/>
  <c r="H546" i="3"/>
  <c r="H554" i="3"/>
  <c r="H53" i="3"/>
  <c r="H65" i="3"/>
  <c r="H69" i="3"/>
  <c r="H85" i="3"/>
  <c r="H89" i="3"/>
  <c r="H77" i="3"/>
  <c r="H487" i="3"/>
  <c r="H56" i="3"/>
  <c r="H60" i="3"/>
  <c r="H68" i="3"/>
  <c r="H229" i="3"/>
  <c r="H448" i="3"/>
  <c r="H603" i="3"/>
  <c r="H24" i="3"/>
  <c r="H415" i="3"/>
  <c r="H628" i="3"/>
  <c r="H16" i="3"/>
  <c r="H481" i="3"/>
  <c r="H86" i="3"/>
  <c r="H12" i="3"/>
  <c r="H289" i="3"/>
  <c r="H438" i="3"/>
  <c r="H212" i="3"/>
  <c r="H446" i="3"/>
  <c r="H652" i="3"/>
  <c r="H168" i="3"/>
  <c r="H648" i="3"/>
  <c r="H5" i="3"/>
  <c r="H46" i="3"/>
  <c r="H492" i="3"/>
  <c r="H228" i="3"/>
  <c r="H76" i="3"/>
  <c r="H386" i="3"/>
  <c r="H295" i="3"/>
  <c r="H355" i="3"/>
  <c r="H498" i="3"/>
  <c r="H503" i="3"/>
  <c r="H390" i="3"/>
  <c r="H592" i="3"/>
  <c r="H359" i="3"/>
  <c r="H267" i="3"/>
  <c r="H269" i="3"/>
  <c r="H271" i="3"/>
  <c r="H232" i="3"/>
  <c r="H412" i="3"/>
  <c r="H364" i="3"/>
  <c r="H420" i="3"/>
  <c r="H478" i="3"/>
  <c r="I230" i="3"/>
  <c r="H230" i="3"/>
  <c r="H383" i="3"/>
  <c r="H490" i="3"/>
  <c r="H95" i="3"/>
  <c r="H474" i="3"/>
  <c r="H100" i="3"/>
  <c r="H154" i="3"/>
  <c r="H334" i="3"/>
  <c r="H200" i="3"/>
  <c r="H231" i="3"/>
  <c r="H206" i="3"/>
  <c r="H222" i="3"/>
  <c r="H241" i="3"/>
  <c r="H336" i="3"/>
  <c r="H653" i="3"/>
  <c r="H256" i="3"/>
  <c r="H395" i="3"/>
  <c r="H543" i="3"/>
  <c r="H545" i="3"/>
  <c r="H556" i="3"/>
  <c r="H191" i="3"/>
  <c r="H275" i="3"/>
  <c r="H253" i="3"/>
  <c r="H403" i="3"/>
  <c r="H25" i="3"/>
  <c r="H31" i="3"/>
  <c r="H33" i="3"/>
  <c r="H301" i="3"/>
  <c r="H362" i="3"/>
  <c r="H547" i="3"/>
  <c r="H553" i="3"/>
  <c r="H170" i="3"/>
  <c r="H176" i="3"/>
  <c r="H184" i="3"/>
  <c r="H260" i="3"/>
  <c r="H262" i="3"/>
  <c r="H277" i="3"/>
  <c r="I363" i="3"/>
  <c r="H363" i="3"/>
  <c r="H204" i="3"/>
  <c r="I204" i="3"/>
  <c r="I529" i="3"/>
  <c r="H529" i="3"/>
  <c r="I173" i="3"/>
  <c r="H173" i="3"/>
  <c r="I183" i="3"/>
  <c r="H183" i="3"/>
  <c r="H491" i="3"/>
  <c r="H380" i="3"/>
  <c r="H210" i="3"/>
  <c r="H521" i="3"/>
  <c r="H105" i="3"/>
  <c r="I105" i="3"/>
  <c r="H605" i="3"/>
  <c r="I605" i="3"/>
  <c r="H73" i="3"/>
  <c r="H347" i="3"/>
  <c r="H501" i="3"/>
  <c r="H177" i="3"/>
  <c r="H635" i="3"/>
  <c r="H10" i="3"/>
  <c r="H55" i="3"/>
  <c r="H63" i="3"/>
  <c r="H584" i="3"/>
  <c r="H18" i="3"/>
  <c r="H101" i="3"/>
  <c r="H104" i="3"/>
  <c r="H107" i="3"/>
  <c r="H112" i="3"/>
  <c r="H140" i="3"/>
  <c r="H339" i="3"/>
  <c r="H342" i="3"/>
  <c r="H352" i="3"/>
  <c r="H517" i="3"/>
  <c r="H525" i="3"/>
  <c r="H533" i="3"/>
  <c r="H237" i="3"/>
  <c r="H239" i="3"/>
  <c r="H410" i="3"/>
  <c r="H604" i="3"/>
  <c r="H607" i="3"/>
  <c r="H612" i="3"/>
  <c r="H620" i="3"/>
  <c r="H479" i="3"/>
  <c r="H79" i="3"/>
  <c r="H13" i="3"/>
  <c r="H321" i="3"/>
  <c r="H569" i="3"/>
  <c r="H124" i="3"/>
  <c r="H129" i="3"/>
  <c r="H344" i="3"/>
  <c r="H248" i="3"/>
  <c r="H257" i="3"/>
  <c r="H389" i="3"/>
  <c r="H392" i="3"/>
  <c r="H394" i="3"/>
  <c r="H399" i="3"/>
  <c r="H613" i="3"/>
  <c r="H623" i="3"/>
  <c r="H164" i="3"/>
  <c r="I538" i="3"/>
  <c r="H538" i="3"/>
  <c r="H550" i="3"/>
  <c r="H559" i="3"/>
  <c r="H418" i="3"/>
  <c r="H636" i="3"/>
  <c r="H458" i="3"/>
  <c r="H265" i="3"/>
  <c r="H631" i="3"/>
  <c r="H642" i="3"/>
  <c r="H647" i="3"/>
  <c r="I540" i="3"/>
  <c r="H540" i="3"/>
  <c r="I261" i="3"/>
  <c r="H261" i="3"/>
  <c r="H567" i="3"/>
  <c r="H480" i="3"/>
  <c r="H437" i="3"/>
  <c r="H152" i="3"/>
  <c r="H411" i="3"/>
  <c r="H367" i="3"/>
  <c r="H484" i="3"/>
  <c r="H482" i="3"/>
  <c r="H468" i="3"/>
  <c r="H44" i="3"/>
  <c r="H313" i="3"/>
  <c r="H220" i="3"/>
  <c r="H11" i="3"/>
  <c r="H431" i="3"/>
  <c r="H113" i="3"/>
  <c r="H115" i="3"/>
  <c r="H127" i="3"/>
  <c r="H132" i="3"/>
  <c r="H135" i="3"/>
  <c r="H137" i="3"/>
  <c r="H343" i="3"/>
  <c r="I344" i="3"/>
  <c r="H346" i="3"/>
  <c r="I347" i="3"/>
  <c r="H351" i="3"/>
  <c r="H506" i="3"/>
  <c r="H509" i="3"/>
  <c r="H511" i="3"/>
  <c r="H514" i="3"/>
  <c r="H247" i="3"/>
  <c r="H595" i="3"/>
  <c r="H30" i="3"/>
  <c r="H457" i="3"/>
  <c r="H461" i="3"/>
  <c r="H160" i="3"/>
  <c r="H167" i="3"/>
  <c r="H365" i="3"/>
  <c r="H485" i="3"/>
  <c r="H214" i="3"/>
  <c r="H384" i="3"/>
  <c r="E426" i="3"/>
  <c r="E562" i="3" s="1"/>
  <c r="D25" i="7" s="1"/>
  <c r="I668" i="3"/>
  <c r="I671" i="3" s="1"/>
  <c r="H58" i="3"/>
  <c r="H434" i="3"/>
  <c r="H57" i="3"/>
  <c r="H61" i="3"/>
  <c r="H316" i="3"/>
  <c r="H215" i="3"/>
  <c r="H581" i="3"/>
  <c r="H297" i="3"/>
  <c r="H440" i="3"/>
  <c r="H588" i="3"/>
  <c r="H617" i="3"/>
  <c r="H92" i="3"/>
  <c r="H96" i="3"/>
  <c r="H133" i="3"/>
  <c r="H136" i="3"/>
  <c r="H139" i="3"/>
  <c r="H144" i="3"/>
  <c r="H331" i="3"/>
  <c r="H332" i="3"/>
  <c r="H354" i="3"/>
  <c r="H510" i="3"/>
  <c r="H513" i="3"/>
  <c r="I514" i="3"/>
  <c r="H516" i="3"/>
  <c r="H518" i="3"/>
  <c r="H520" i="3"/>
  <c r="H522" i="3"/>
  <c r="H524" i="3"/>
  <c r="H526" i="3"/>
  <c r="H528" i="3"/>
  <c r="H530" i="3"/>
  <c r="H532" i="3"/>
  <c r="H534" i="3"/>
  <c r="H536" i="3"/>
  <c r="H236" i="3"/>
  <c r="H245" i="3"/>
  <c r="H397" i="3"/>
  <c r="H409" i="3"/>
  <c r="H591" i="3"/>
  <c r="H615" i="3"/>
  <c r="H616" i="3"/>
  <c r="H163" i="3"/>
  <c r="H300" i="3"/>
  <c r="H305" i="3"/>
  <c r="H453" i="3"/>
  <c r="H361" i="3"/>
  <c r="H372" i="3"/>
  <c r="H544" i="3"/>
  <c r="H174" i="3"/>
  <c r="H263" i="3"/>
  <c r="H560" i="3"/>
  <c r="H172" i="3"/>
  <c r="H175" i="3"/>
  <c r="H178" i="3"/>
  <c r="H180" i="3"/>
  <c r="H630" i="3"/>
  <c r="H171" i="3"/>
  <c r="H266" i="3"/>
  <c r="H270" i="3"/>
  <c r="H273" i="3"/>
  <c r="H416" i="3"/>
  <c r="H419" i="3"/>
  <c r="H422" i="3"/>
  <c r="H639" i="3"/>
  <c r="H258" i="3"/>
  <c r="H574" i="3"/>
  <c r="I574" i="3"/>
  <c r="H356" i="3"/>
  <c r="I356" i="3"/>
  <c r="H593" i="3"/>
  <c r="I593" i="3"/>
  <c r="H81" i="3"/>
  <c r="I102" i="3"/>
  <c r="H102" i="3"/>
  <c r="H155" i="3"/>
  <c r="I155" i="3"/>
  <c r="H202" i="3"/>
  <c r="H47" i="3"/>
  <c r="H314" i="3"/>
  <c r="H226" i="3"/>
  <c r="H9" i="3"/>
  <c r="H7" i="3"/>
  <c r="H323" i="3"/>
  <c r="H218" i="3"/>
  <c r="H385" i="3"/>
  <c r="H14" i="3"/>
  <c r="H445" i="3"/>
  <c r="H600" i="3"/>
  <c r="H125" i="3"/>
  <c r="I368" i="3"/>
  <c r="H368" i="3"/>
  <c r="H49" i="3"/>
  <c r="H488" i="3"/>
  <c r="H432" i="3"/>
  <c r="H322" i="3"/>
  <c r="H203" i="3"/>
  <c r="I406" i="3"/>
  <c r="H406" i="3"/>
  <c r="B32" i="7"/>
  <c r="E25" i="7"/>
  <c r="H45" i="3"/>
  <c r="H476" i="3"/>
  <c r="H54" i="3"/>
  <c r="H51" i="3"/>
  <c r="H59" i="3"/>
  <c r="H67" i="3"/>
  <c r="H83" i="3"/>
  <c r="H213" i="3"/>
  <c r="H582" i="3"/>
  <c r="H290" i="3"/>
  <c r="H442" i="3"/>
  <c r="H450" i="3"/>
  <c r="H143" i="3"/>
  <c r="I143" i="3"/>
  <c r="H147" i="3"/>
  <c r="H149" i="3"/>
  <c r="H151" i="3"/>
  <c r="H153" i="3"/>
  <c r="H499" i="3"/>
  <c r="H609" i="3"/>
  <c r="I609" i="3"/>
  <c r="I616" i="3"/>
  <c r="H41" i="3"/>
  <c r="H48" i="3"/>
  <c r="H90" i="3"/>
  <c r="H436" i="3"/>
  <c r="H62" i="3"/>
  <c r="H70" i="3"/>
  <c r="H74" i="3"/>
  <c r="H78" i="3"/>
  <c r="H43" i="3"/>
  <c r="H318" i="3"/>
  <c r="H319" i="3"/>
  <c r="H208" i="3"/>
  <c r="H216" i="3"/>
  <c r="H224" i="3"/>
  <c r="H388" i="3"/>
  <c r="H573" i="3"/>
  <c r="H576" i="3"/>
  <c r="H578" i="3"/>
  <c r="H585" i="3"/>
  <c r="H17" i="3"/>
  <c r="H292" i="3"/>
  <c r="H294" i="3"/>
  <c r="H444" i="3"/>
  <c r="H108" i="3"/>
  <c r="H116" i="3"/>
  <c r="H119" i="3"/>
  <c r="H128" i="3"/>
  <c r="H150" i="3"/>
  <c r="H326" i="3"/>
  <c r="H328" i="3"/>
  <c r="H335" i="3"/>
  <c r="H348" i="3"/>
  <c r="H493" i="3"/>
  <c r="H495" i="3"/>
  <c r="H502" i="3"/>
  <c r="H515" i="3"/>
  <c r="H519" i="3"/>
  <c r="H523" i="3"/>
  <c r="H527" i="3"/>
  <c r="H531" i="3"/>
  <c r="H535" i="3"/>
  <c r="H233" i="3"/>
  <c r="H240" i="3"/>
  <c r="H249" i="3"/>
  <c r="H250" i="3"/>
  <c r="H601" i="3"/>
  <c r="H625" i="3"/>
  <c r="H21" i="3"/>
  <c r="H317" i="3"/>
  <c r="H209" i="3"/>
  <c r="H225" i="3"/>
  <c r="H219" i="3"/>
  <c r="H387" i="3"/>
  <c r="H382" i="3"/>
  <c r="H577" i="3"/>
  <c r="H580" i="3"/>
  <c r="H20" i="3"/>
  <c r="H293" i="3"/>
  <c r="H296" i="3"/>
  <c r="H99" i="3"/>
  <c r="H111" i="3"/>
  <c r="H117" i="3"/>
  <c r="H120" i="3"/>
  <c r="H123" i="3"/>
  <c r="H131" i="3"/>
  <c r="H327" i="3"/>
  <c r="H330" i="3"/>
  <c r="H338" i="3"/>
  <c r="H340" i="3"/>
  <c r="H350" i="3"/>
  <c r="H494" i="3"/>
  <c r="H497" i="3"/>
  <c r="H505" i="3"/>
  <c r="H507" i="3"/>
  <c r="H235" i="3"/>
  <c r="H244" i="3"/>
  <c r="H252" i="3"/>
  <c r="H254" i="3"/>
  <c r="H393" i="3"/>
  <c r="H398" i="3"/>
  <c r="H401" i="3"/>
  <c r="H596" i="3"/>
  <c r="I29" i="3"/>
  <c r="I36" i="3" s="1"/>
  <c r="H29" i="3"/>
  <c r="I264" i="3"/>
  <c r="H264" i="3"/>
  <c r="H402" i="3"/>
  <c r="H405" i="3"/>
  <c r="H587" i="3"/>
  <c r="H589" i="3"/>
  <c r="H599" i="3"/>
  <c r="H608" i="3"/>
  <c r="H611" i="3"/>
  <c r="H619" i="3"/>
  <c r="H621" i="3"/>
  <c r="H454" i="3"/>
  <c r="H181" i="3"/>
  <c r="H637" i="3"/>
  <c r="I637" i="3"/>
  <c r="H28" i="3"/>
  <c r="H156" i="3"/>
  <c r="H366" i="3"/>
  <c r="H373" i="3"/>
  <c r="H537" i="3"/>
  <c r="H548" i="3"/>
  <c r="H32" i="3"/>
  <c r="H304" i="3"/>
  <c r="H159" i="3"/>
  <c r="H166" i="3"/>
  <c r="H369" i="3"/>
  <c r="H541" i="3"/>
  <c r="H549" i="3"/>
  <c r="H552" i="3"/>
  <c r="H185" i="3"/>
  <c r="H188" i="3"/>
  <c r="H632" i="3"/>
  <c r="H643" i="3"/>
  <c r="H179" i="3"/>
  <c r="H192" i="3"/>
  <c r="H629" i="3"/>
  <c r="H638" i="3"/>
  <c r="H644" i="3"/>
  <c r="H145" i="3"/>
  <c r="H97" i="3"/>
  <c r="H109" i="3"/>
  <c r="H121" i="3"/>
  <c r="H211" i="3"/>
  <c r="H227" i="3"/>
  <c r="H451" i="3"/>
  <c r="I451" i="3"/>
  <c r="H357" i="3"/>
  <c r="I357" i="3"/>
  <c r="B18" i="7"/>
  <c r="I382" i="3"/>
  <c r="H221" i="3"/>
  <c r="H72" i="3"/>
  <c r="I72" i="3"/>
  <c r="H93" i="3"/>
  <c r="I555" i="3"/>
  <c r="H555" i="3"/>
  <c r="I558" i="3"/>
  <c r="H558" i="3"/>
  <c r="H4" i="3"/>
  <c r="I203" i="3"/>
  <c r="H199" i="3"/>
  <c r="H471" i="3"/>
  <c r="H473" i="3"/>
  <c r="H80" i="3"/>
  <c r="H217" i="3"/>
  <c r="H575" i="3"/>
  <c r="H8" i="3"/>
  <c r="H568" i="3"/>
  <c r="I150" i="3"/>
  <c r="H141" i="3"/>
  <c r="H391" i="3"/>
  <c r="I97" i="3"/>
  <c r="I145" i="3"/>
  <c r="I250" i="3"/>
  <c r="I411" i="3"/>
  <c r="I601" i="3"/>
  <c r="I358" i="3"/>
  <c r="H358" i="3"/>
  <c r="H360" i="3"/>
  <c r="I367" i="3"/>
  <c r="I539" i="3"/>
  <c r="H539" i="3"/>
  <c r="I551" i="3"/>
  <c r="H551" i="3"/>
  <c r="H207" i="3"/>
  <c r="H223" i="3"/>
  <c r="I118" i="3"/>
  <c r="H118" i="3"/>
  <c r="I606" i="3"/>
  <c r="H606" i="3"/>
  <c r="I162" i="3"/>
  <c r="H162" i="3"/>
  <c r="H50" i="3"/>
  <c r="H66" i="3"/>
  <c r="H82" i="3"/>
  <c r="H255" i="3"/>
  <c r="H597" i="3"/>
  <c r="I303" i="3"/>
  <c r="I308" i="3" s="1"/>
  <c r="H303" i="3"/>
  <c r="H371" i="3"/>
  <c r="I371" i="3"/>
  <c r="I169" i="3"/>
  <c r="H169" i="3"/>
  <c r="H489" i="3"/>
  <c r="E282" i="3"/>
  <c r="B11" i="7"/>
  <c r="I485" i="3"/>
  <c r="H315" i="3"/>
  <c r="H205" i="3"/>
  <c r="H64" i="3"/>
  <c r="I84" i="3"/>
  <c r="H84" i="3"/>
  <c r="I319" i="3"/>
  <c r="I209" i="3"/>
  <c r="I213" i="3"/>
  <c r="I225" i="3"/>
  <c r="I229" i="3"/>
  <c r="I579" i="3"/>
  <c r="H579" i="3"/>
  <c r="I582" i="3"/>
  <c r="H298" i="3"/>
  <c r="H441" i="3"/>
  <c r="H449" i="3"/>
  <c r="H148" i="3"/>
  <c r="H246" i="3"/>
  <c r="H407" i="3"/>
  <c r="I109" i="3"/>
  <c r="I125" i="3"/>
  <c r="I332" i="3"/>
  <c r="I348" i="3"/>
  <c r="I499" i="3"/>
  <c r="I233" i="3"/>
  <c r="H404" i="3"/>
  <c r="I404" i="3"/>
  <c r="I613" i="3"/>
  <c r="H472" i="3"/>
  <c r="H433" i="3"/>
  <c r="H15" i="3"/>
  <c r="H19" i="3"/>
  <c r="H22" i="3"/>
  <c r="H26" i="3"/>
  <c r="H34" i="3"/>
  <c r="H302" i="3"/>
  <c r="H455" i="3"/>
  <c r="H459" i="3"/>
  <c r="H157" i="3"/>
  <c r="H161" i="3"/>
  <c r="H165" i="3"/>
  <c r="H370" i="3"/>
  <c r="H417" i="3"/>
  <c r="H650" i="3"/>
  <c r="I650" i="3"/>
  <c r="H477" i="3"/>
  <c r="H6" i="3"/>
  <c r="H435" i="3"/>
  <c r="H52" i="3"/>
  <c r="H88" i="3"/>
  <c r="H571" i="3"/>
  <c r="H583" i="3"/>
  <c r="H291" i="3"/>
  <c r="H439" i="3"/>
  <c r="H443" i="3"/>
  <c r="H447" i="3"/>
  <c r="H94" i="3"/>
  <c r="H98" i="3"/>
  <c r="H110" i="3"/>
  <c r="H114" i="3"/>
  <c r="H122" i="3"/>
  <c r="H126" i="3"/>
  <c r="H130" i="3"/>
  <c r="H134" i="3"/>
  <c r="H138" i="3"/>
  <c r="H142" i="3"/>
  <c r="H146" i="3"/>
  <c r="H325" i="3"/>
  <c r="H329" i="3"/>
  <c r="H333" i="3"/>
  <c r="H337" i="3"/>
  <c r="H341" i="3"/>
  <c r="H345" i="3"/>
  <c r="H349" i="3"/>
  <c r="H353" i="3"/>
  <c r="H496" i="3"/>
  <c r="H504" i="3"/>
  <c r="H508" i="3"/>
  <c r="H512" i="3"/>
  <c r="H234" i="3"/>
  <c r="H238" i="3"/>
  <c r="H242" i="3"/>
  <c r="H243" i="3"/>
  <c r="H251" i="3"/>
  <c r="H259" i="3"/>
  <c r="H396" i="3"/>
  <c r="H400" i="3"/>
  <c r="H408" i="3"/>
  <c r="H586" i="3"/>
  <c r="H590" i="3"/>
  <c r="H594" i="3"/>
  <c r="H598" i="3"/>
  <c r="H602" i="3"/>
  <c r="H610" i="3"/>
  <c r="H614" i="3"/>
  <c r="H618" i="3"/>
  <c r="H622" i="3"/>
  <c r="H626" i="3"/>
  <c r="H23" i="3"/>
  <c r="H27" i="3"/>
  <c r="H299" i="3"/>
  <c r="H452" i="3"/>
  <c r="H456" i="3"/>
  <c r="H460" i="3"/>
  <c r="H158" i="3"/>
  <c r="I268" i="3"/>
  <c r="H268" i="3"/>
  <c r="H542" i="3"/>
  <c r="H557" i="3"/>
  <c r="H633" i="3"/>
  <c r="I633" i="3"/>
  <c r="H182" i="3"/>
  <c r="H413" i="3"/>
  <c r="H272" i="3"/>
  <c r="H276" i="3"/>
  <c r="H414" i="3"/>
  <c r="H421" i="3"/>
  <c r="H634" i="3"/>
  <c r="H640" i="3"/>
  <c r="H645" i="3"/>
  <c r="H649" i="3"/>
  <c r="H654" i="3"/>
  <c r="H627" i="3"/>
  <c r="H641" i="3"/>
  <c r="H646" i="3"/>
  <c r="H651" i="3"/>
  <c r="H288" i="3"/>
  <c r="H469" i="3"/>
  <c r="H570" i="3"/>
  <c r="H75" i="3"/>
  <c r="H91" i="3"/>
  <c r="H381" i="3"/>
  <c r="H71" i="3"/>
  <c r="H87" i="3"/>
  <c r="H475" i="3"/>
  <c r="H42" i="3"/>
  <c r="F14" i="10" l="1"/>
  <c r="F15" i="10"/>
  <c r="F13" i="10"/>
  <c r="F17" i="10" s="1"/>
  <c r="F30" i="10"/>
  <c r="F29" i="10"/>
  <c r="E35" i="10"/>
  <c r="F28" i="10"/>
  <c r="F31" i="10"/>
  <c r="C8" i="15"/>
  <c r="F16" i="10"/>
  <c r="F32" i="10"/>
  <c r="I144" i="4"/>
  <c r="D11" i="8" s="1"/>
  <c r="G442" i="15"/>
  <c r="E689" i="15"/>
  <c r="G674" i="15"/>
  <c r="C9" i="15"/>
  <c r="C56" i="7" s="1"/>
  <c r="C10" i="15"/>
  <c r="D56" i="7" s="1"/>
  <c r="G299" i="15"/>
  <c r="I166" i="4"/>
  <c r="D13" i="8" s="1"/>
  <c r="E169" i="4"/>
  <c r="H101" i="4"/>
  <c r="I101" i="4"/>
  <c r="D9" i="8" s="1"/>
  <c r="H144" i="4"/>
  <c r="H166" i="4"/>
  <c r="D33" i="7"/>
  <c r="D35" i="7" s="1"/>
  <c r="H671" i="3"/>
  <c r="E35" i="7"/>
  <c r="B25" i="7"/>
  <c r="B15" i="8"/>
  <c r="I656" i="3"/>
  <c r="I463" i="3"/>
  <c r="C55" i="7" s="1"/>
  <c r="E658" i="3"/>
  <c r="E673" i="3" s="1"/>
  <c r="I280" i="3"/>
  <c r="H280" i="3"/>
  <c r="E12" i="7" s="1"/>
  <c r="H463" i="3"/>
  <c r="C26" i="7" s="1"/>
  <c r="C28" i="7" s="1"/>
  <c r="H375" i="3"/>
  <c r="D19" i="7" s="1"/>
  <c r="I194" i="3"/>
  <c r="I424" i="3"/>
  <c r="I375" i="3"/>
  <c r="H36" i="3"/>
  <c r="C12" i="7" s="1"/>
  <c r="H308" i="3"/>
  <c r="C19" i="7" s="1"/>
  <c r="H424" i="3"/>
  <c r="H656" i="3"/>
  <c r="H194" i="3"/>
  <c r="D12" i="7" s="1"/>
  <c r="E55" i="7" l="1"/>
  <c r="F33" i="10"/>
  <c r="G689" i="15"/>
  <c r="E56" i="7"/>
  <c r="B56" i="7" s="1"/>
  <c r="C11" i="15"/>
  <c r="I169" i="4"/>
  <c r="D18" i="8"/>
  <c r="H169" i="4"/>
  <c r="B33" i="7"/>
  <c r="B35" i="7" s="1"/>
  <c r="I282" i="3"/>
  <c r="B9" i="8" s="1"/>
  <c r="B12" i="7"/>
  <c r="I426" i="3"/>
  <c r="B11" i="8" s="1"/>
  <c r="E19" i="7"/>
  <c r="H426" i="3"/>
  <c r="H562" i="3" s="1"/>
  <c r="D26" i="7" s="1"/>
  <c r="D28" i="7" s="1"/>
  <c r="C21" i="7"/>
  <c r="H282" i="3"/>
  <c r="E26" i="7"/>
  <c r="E28" i="7" s="1"/>
  <c r="E14" i="7" l="1"/>
  <c r="E21" i="7"/>
  <c r="B19" i="7"/>
  <c r="I562" i="3"/>
  <c r="I658" i="3" s="1"/>
  <c r="H658" i="3"/>
  <c r="E40" i="7" l="1"/>
  <c r="C14" i="7"/>
  <c r="C40" i="7" s="1"/>
  <c r="D55" i="7"/>
  <c r="B55" i="7" s="1"/>
  <c r="B13" i="8"/>
  <c r="B18" i="8" s="1"/>
  <c r="B20" i="8" s="1"/>
  <c r="I673" i="3"/>
  <c r="B26" i="7"/>
  <c r="B28" i="7" s="1"/>
  <c r="H673" i="3"/>
  <c r="C42" i="7" l="1"/>
  <c r="C44" i="7" s="1"/>
  <c r="C46" i="7"/>
  <c r="C48" i="7" s="1"/>
  <c r="C50" i="7" s="1"/>
  <c r="C52" i="7" s="1"/>
  <c r="B21" i="7"/>
  <c r="D21" i="7"/>
  <c r="D14" i="7"/>
  <c r="B14" i="7"/>
  <c r="D40" i="7" l="1"/>
  <c r="D42" i="7" s="1"/>
  <c r="D44" i="7" s="1"/>
  <c r="B40" i="7"/>
  <c r="B42" i="7" s="1"/>
  <c r="B44" i="7" s="1"/>
  <c r="C54" i="7"/>
  <c r="C58" i="7" s="1"/>
  <c r="B8" i="10" s="1"/>
  <c r="H29" i="10" s="1"/>
  <c r="G29" i="10" s="1"/>
  <c r="E46" i="7"/>
  <c r="E48" i="7" s="1"/>
  <c r="E50" i="7" s="1"/>
  <c r="E52" i="7" s="1"/>
  <c r="E42" i="7"/>
  <c r="E44" i="7" s="1"/>
  <c r="B46" i="7" l="1"/>
  <c r="B48" i="7" s="1"/>
  <c r="B50" i="7" s="1"/>
  <c r="B52" i="7" s="1"/>
  <c r="B54" i="7" s="1"/>
  <c r="D46" i="7"/>
  <c r="D48" i="7" s="1"/>
  <c r="D50" i="7" s="1"/>
  <c r="D52" i="7" s="1"/>
  <c r="D54" i="7" s="1"/>
  <c r="D58" i="7" s="1"/>
  <c r="H30" i="10"/>
  <c r="G30" i="10" s="1"/>
  <c r="H32" i="10"/>
  <c r="H28" i="10"/>
  <c r="G28" i="10" s="1"/>
  <c r="E54" i="7"/>
  <c r="E58" i="7" s="1"/>
  <c r="B6" i="10" s="1"/>
  <c r="H13" i="10" s="1"/>
  <c r="G13" i="10" s="1"/>
  <c r="H31" i="10"/>
  <c r="G31" i="10" s="1"/>
  <c r="H12" i="10" l="1"/>
  <c r="H33" i="10"/>
  <c r="H14" i="10"/>
  <c r="G14" i="10" s="1"/>
  <c r="H16" i="10"/>
  <c r="G16" i="10" s="1"/>
  <c r="H15" i="10"/>
  <c r="G15" i="10" s="1"/>
  <c r="B7" i="10"/>
  <c r="B5" i="10" s="1"/>
  <c r="A59" i="10" s="1"/>
  <c r="B58" i="7"/>
  <c r="H17" i="10" l="1"/>
  <c r="G12" i="10"/>
  <c r="H22" i="10"/>
  <c r="G22" i="10" s="1"/>
  <c r="H20" i="10"/>
  <c r="H24" i="10"/>
  <c r="G24" i="10" s="1"/>
  <c r="H23" i="10"/>
  <c r="G23" i="10" s="1"/>
  <c r="H21" i="10"/>
  <c r="G21" i="10" s="1"/>
  <c r="G20" i="10" l="1"/>
  <c r="H25" i="10"/>
  <c r="H35" i="10" s="1"/>
</calcChain>
</file>

<file path=xl/comments1.xml><?xml version="1.0" encoding="utf-8"?>
<comments xmlns="http://schemas.openxmlformats.org/spreadsheetml/2006/main">
  <authors>
    <author>swan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swan:</t>
        </r>
        <r>
          <rPr>
            <sz val="9"/>
            <color indexed="81"/>
            <rFont val="Tahoma"/>
            <family val="2"/>
          </rPr>
          <t xml:space="preserve">
New Additions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swan:</t>
        </r>
        <r>
          <rPr>
            <sz val="9"/>
            <color indexed="81"/>
            <rFont val="Tahoma"/>
            <family val="2"/>
          </rPr>
          <t xml:space="preserve">
New Additions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swan:</t>
        </r>
        <r>
          <rPr>
            <sz val="9"/>
            <color indexed="81"/>
            <rFont val="Tahoma"/>
            <family val="2"/>
          </rPr>
          <t xml:space="preserve">
New Additions
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swan:</t>
        </r>
        <r>
          <rPr>
            <sz val="9"/>
            <color indexed="81"/>
            <rFont val="Tahoma"/>
            <family val="2"/>
          </rPr>
          <t xml:space="preserve">
New Additions
</t>
        </r>
      </text>
    </comment>
  </commentList>
</comments>
</file>

<file path=xl/sharedStrings.xml><?xml version="1.0" encoding="utf-8"?>
<sst xmlns="http://schemas.openxmlformats.org/spreadsheetml/2006/main" count="3926" uniqueCount="631">
  <si>
    <t>Index to ISRS Appendices</t>
  </si>
  <si>
    <t>Appendix A Schedule 1</t>
  </si>
  <si>
    <t>Additions</t>
  </si>
  <si>
    <t>Appendix A Schedule 2</t>
  </si>
  <si>
    <t>Retirements</t>
  </si>
  <si>
    <t>Appendix B Schedule 1</t>
  </si>
  <si>
    <t>Appendix B Schedule 2</t>
  </si>
  <si>
    <t>Appendix B Schedule 3</t>
  </si>
  <si>
    <t>Depreciation Expense</t>
  </si>
  <si>
    <t>Appendix B Schedule 4</t>
  </si>
  <si>
    <t>Deferred Taxes</t>
  </si>
  <si>
    <t>Appendix B Schedule 5</t>
  </si>
  <si>
    <t>Appendix B Schedule 6</t>
  </si>
  <si>
    <t>Weighted Cost of Capital</t>
  </si>
  <si>
    <t>Property Taxes</t>
  </si>
  <si>
    <t>ADDITIONS - MAIN REPLACEMENTS, WEST DIVISION</t>
  </si>
  <si>
    <t>UTILITY ACCOUNT</t>
  </si>
  <si>
    <t>PROJECT NUMBER</t>
  </si>
  <si>
    <t>PROJECT DESCRIPTION</t>
  </si>
  <si>
    <t>IN SERVICE DATE</t>
  </si>
  <si>
    <t>ADDITION AMOUNT</t>
  </si>
  <si>
    <t>MONTHS</t>
  </si>
  <si>
    <t>MONTHLY DEPR RATE</t>
  </si>
  <si>
    <t>ACCUMULATED DEPRECIATION</t>
  </si>
  <si>
    <t>DEPRECIATION EXPENSE</t>
  </si>
  <si>
    <t>TOTALS - WEST DIVISION</t>
  </si>
  <si>
    <t>ADDITIONS - MAIN REPLACEMENTS, SOUTHEAST MISSOURI DIVISION</t>
  </si>
  <si>
    <t>TOTALS - SOUTHEAST MISSOURI DIVISION</t>
  </si>
  <si>
    <t>ADDITIONS - MAIN REPLACEMENTS, NORTHEAST MISSOURI DIVISION</t>
  </si>
  <si>
    <t>TOTALS - NORTHEAST MISSOURI DIVISION</t>
  </si>
  <si>
    <t>TOTAL MAIN REPLACEMENT ADDITIONS</t>
  </si>
  <si>
    <t>ADDITIONS - SERVICE REPLACEMENTS, WEST DIVISION</t>
  </si>
  <si>
    <t>38000</t>
  </si>
  <si>
    <t>ADDITIONS - SERVICE REPLACEMENTS, SOUTHEAST MISSOURI DIVISION</t>
  </si>
  <si>
    <t>ADDITIONS - SERVICE REPLACEMENTS, NORTHEAST MISSOURI DIVISION</t>
  </si>
  <si>
    <t>TOTAL SERVICE REPLACEMENT ADDITIONS</t>
  </si>
  <si>
    <t>ADDITIONS - METER AND HOUSE REGULATOR REPLACEMENTS, WEST DIVISION</t>
  </si>
  <si>
    <t>ADDITIONS - METER AND HOUSE REGULATOR REPLACEMENTS, SOUTHEAST MISSOURI DIVISION</t>
  </si>
  <si>
    <t>ADDITIONS - METER AND HOUSE REGULATOR REPLACEMENTS, NORTHEAST MISSOURI DIVISION</t>
  </si>
  <si>
    <t>TOTAL METER AND HOUSE REGULATOR REPLACEMENT ADDITIONS</t>
  </si>
  <si>
    <t>ADDITIONS - MEASUREMENT AND REGULATOR STATION EQUIPMENT REPLACEMENTS, SOUTHEAST MISSOURI DIVISION</t>
  </si>
  <si>
    <t>TOTAL MEASUREMENT AND REGULATOR STATION EQUIPMENT REPLACEMENT ADDITIONS</t>
  </si>
  <si>
    <t>TOTAL ISRS ELIGIBLE ADDITIONS</t>
  </si>
  <si>
    <t>TOTAL MAIN REPLACEMENT RETIREMENTS</t>
  </si>
  <si>
    <t>TOTAL METER AND HOUSE REGULATOR REPLACEMENT RETIREMENTS</t>
  </si>
  <si>
    <t>TOTAL ISRS ELIGIBLE RETIREMENTS</t>
  </si>
  <si>
    <t>ISRS Revenue Requirement Calculation</t>
  </si>
  <si>
    <t>ISRS Activity:</t>
  </si>
  <si>
    <t>Missouri</t>
  </si>
  <si>
    <t>Gas Utility Plant Projects - Main Replacements and Other Projects Extending Useful Life of Mains:</t>
  </si>
  <si>
    <t>Work Orders Placed in Service</t>
  </si>
  <si>
    <t xml:space="preserve">Gross Additions </t>
  </si>
  <si>
    <t xml:space="preserve">Accumulated Depreciation </t>
  </si>
  <si>
    <t>Total Net</t>
  </si>
  <si>
    <t>Gas Utility Plant Projects - Service Line Replacements and Insertion Projects:</t>
  </si>
  <si>
    <t xml:space="preserve">Total Net </t>
  </si>
  <si>
    <t>Gas Utility Plant Projects - Meter &amp; House Regulator Replacements:</t>
  </si>
  <si>
    <t>Gas Utility Plant Projects - Measurement &amp; Regulator Station Equipment Replacements:</t>
  </si>
  <si>
    <t xml:space="preserve">Total ISRS Rate Base </t>
  </si>
  <si>
    <t>Overall Rate of Return per GR-2006-0387</t>
  </si>
  <si>
    <t xml:space="preserve">UOI Required </t>
  </si>
  <si>
    <t xml:space="preserve">Income Tax Conversion Factor </t>
  </si>
  <si>
    <t xml:space="preserve">Revenue Requirement Before Interest Deductibility </t>
  </si>
  <si>
    <t>Weighted Cost of Debt per GR-2006-0387</t>
  </si>
  <si>
    <t xml:space="preserve">Interest Deduction </t>
  </si>
  <si>
    <t xml:space="preserve">Marginal Income Tax Rate </t>
  </si>
  <si>
    <t xml:space="preserve">Income Tax Reduction due to Interest </t>
  </si>
  <si>
    <t xml:space="preserve">Revenue Requirement Impact of Interest Deductibility </t>
  </si>
  <si>
    <t xml:space="preserve">Total Revenue Requirement on Capital </t>
  </si>
  <si>
    <t xml:space="preserve">Depreciation Expense </t>
  </si>
  <si>
    <t xml:space="preserve">Total Company ISRS Revenues </t>
  </si>
  <si>
    <t>ISRS Depreciation Expense</t>
  </si>
  <si>
    <t>Annual Depreciation</t>
  </si>
  <si>
    <t>Main Replacements</t>
  </si>
  <si>
    <t>Service Replacements</t>
  </si>
  <si>
    <t>Meter &amp; House Regulator Replacements</t>
  </si>
  <si>
    <t>Measurement &amp; Regulator Station Equipment Replacements</t>
  </si>
  <si>
    <t>TOTAL</t>
  </si>
  <si>
    <t>Total ISRS Revenues</t>
  </si>
  <si>
    <t>Northeast District</t>
  </si>
  <si>
    <t>Southeast District</t>
  </si>
  <si>
    <t>West District</t>
  </si>
  <si>
    <t>Rate District &amp; Class</t>
  </si>
  <si>
    <t xml:space="preserve">    Firm Residential</t>
  </si>
  <si>
    <t xml:space="preserve">    Small Firm GS</t>
  </si>
  <si>
    <t xml:space="preserve">    Medium Firm GS</t>
  </si>
  <si>
    <t xml:space="preserve">    Large Firm GS</t>
  </si>
  <si>
    <t xml:space="preserve">    Interruptible Large Volume </t>
  </si>
  <si>
    <t>Total</t>
  </si>
  <si>
    <t>ISRS Weighted Average Cost of Capital*</t>
  </si>
  <si>
    <t>Common</t>
  </si>
  <si>
    <t>Long term</t>
  </si>
  <si>
    <t>Short term</t>
  </si>
  <si>
    <t>Rate Div</t>
  </si>
  <si>
    <t>Rate</t>
  </si>
  <si>
    <t>ISRS Property Taxes</t>
  </si>
  <si>
    <t>Property Tax Rate</t>
  </si>
  <si>
    <t>RETIREMENTS - MAIN REPLACEMENTS, WEST DIVISION</t>
  </si>
  <si>
    <t>RETIREMENTS - MAIN REPLACEMENTS, SOUTHEAST MISSOURI DIVISION</t>
  </si>
  <si>
    <t>RETIREMENTS - METER AND HOUSE REGULATOR REPLACEMENTS, SOUTHEAST DIVISION</t>
  </si>
  <si>
    <t>TOTALS - SOUTHEAST DIVISION</t>
  </si>
  <si>
    <t>RETIREMENTS - SERVICE REPLACEMENTS, SOUTHEAST DIVISION</t>
  </si>
  <si>
    <t>RETIREMENTS - SERVICE REPLACEMENTS, NORTHEAST DIVISION</t>
  </si>
  <si>
    <t>TOTALS - NORTHEAST DIVISION</t>
  </si>
  <si>
    <t>RETIREMENTS - METER AND HOUSE REGULATOR REPLACEMENTS, NORTHEAST DIVISION</t>
  </si>
  <si>
    <t>RETIREMENTS - MAIN REPLACEMENTS, NORTHEAST DIVISION</t>
  </si>
  <si>
    <t>TOTAL SERVICE REPLACEMENT RETIREMENTS</t>
  </si>
  <si>
    <t>Total Missouri</t>
  </si>
  <si>
    <t>Total NEMO</t>
  </si>
  <si>
    <t>Total SEMO</t>
  </si>
  <si>
    <t>Total WEMO</t>
  </si>
  <si>
    <t>Northeast District (NEMO)</t>
  </si>
  <si>
    <t>Southeast District (SEMO)</t>
  </si>
  <si>
    <t>West District (WEMO)</t>
  </si>
  <si>
    <t>Description</t>
  </si>
  <si>
    <t>Missouri Jurisdiction</t>
  </si>
  <si>
    <t>WEMO</t>
  </si>
  <si>
    <t>SEMO</t>
  </si>
  <si>
    <t>NEMO</t>
  </si>
  <si>
    <t>Number of Customers*</t>
  </si>
  <si>
    <t>Customer Charge</t>
  </si>
  <si>
    <t>Ratio to Residential Customer Charge</t>
  </si>
  <si>
    <t>Weighted Customer Numbers</t>
  </si>
  <si>
    <t>Customer Percentage</t>
  </si>
  <si>
    <t>ISRS Charge</t>
  </si>
  <si>
    <t>ISRS Revenues</t>
  </si>
  <si>
    <t xml:space="preserve"> </t>
  </si>
  <si>
    <t>Line</t>
  </si>
  <si>
    <t>Jurisdiction:</t>
  </si>
  <si>
    <t>Tax Rate</t>
  </si>
  <si>
    <t>Federal:</t>
  </si>
  <si>
    <t>State:</t>
  </si>
  <si>
    <t>Composite Factor:</t>
  </si>
  <si>
    <t>Revenue Gross-Up Factor for inc tax</t>
  </si>
  <si>
    <t>Test Period Ending:</t>
  </si>
  <si>
    <t>Revenue Requirments</t>
  </si>
  <si>
    <t>Tax Rate Calculation</t>
  </si>
  <si>
    <t>Appendix C Schedule 1</t>
  </si>
  <si>
    <t>Appendix C Attachment 1</t>
  </si>
  <si>
    <t>ISRS Tariff Sheet</t>
  </si>
  <si>
    <t>Appendix C Attachment 2</t>
  </si>
  <si>
    <t>Appendix C Attachment 3</t>
  </si>
  <si>
    <t>Appendix C Attachment 5</t>
  </si>
  <si>
    <t>Appendix C Attachment 4</t>
  </si>
  <si>
    <t>Customer Notice Examples</t>
  </si>
  <si>
    <t>Current ISRS Web Site Information</t>
  </si>
  <si>
    <t>Example Script for Call Center Employees</t>
  </si>
  <si>
    <t>Sample Customer Bill</t>
  </si>
  <si>
    <t>Eligible Replacements</t>
  </si>
  <si>
    <t>ISRS Tax Rate Calculation</t>
  </si>
  <si>
    <t>ISRS Current Period Rate Design</t>
  </si>
  <si>
    <t>Rate Design Current Period</t>
  </si>
  <si>
    <t>*per Rate Case GR-2010-0192</t>
  </si>
  <si>
    <t>Percent</t>
  </si>
  <si>
    <t>Cost Rate</t>
  </si>
  <si>
    <t>Cost of</t>
  </si>
  <si>
    <t>Capital</t>
  </si>
  <si>
    <t>Appendix A</t>
  </si>
  <si>
    <t>Schedule 1</t>
  </si>
  <si>
    <t>Schedule 2</t>
  </si>
  <si>
    <t>Eligible ISRS Replacements</t>
  </si>
  <si>
    <t>Appendix B</t>
  </si>
  <si>
    <t>Schedule 3</t>
  </si>
  <si>
    <t>Schedule 4</t>
  </si>
  <si>
    <t>Schedule 5</t>
  </si>
  <si>
    <t>Schedule 6</t>
  </si>
  <si>
    <t>ISRS Deferred Taxes - Rate Base Reduction</t>
  </si>
  <si>
    <t>ISRS Rate Design - Current Period</t>
  </si>
  <si>
    <t>Capital Structure/Rate of Return for ISRS</t>
  </si>
  <si>
    <t>Appendix C</t>
  </si>
  <si>
    <t>Attachment 1</t>
  </si>
  <si>
    <t>Attachment 2</t>
  </si>
  <si>
    <t>Attachment 3</t>
  </si>
  <si>
    <t>Attachment 4</t>
  </si>
  <si>
    <t>Attachment 5</t>
  </si>
  <si>
    <t>ISRS Tariff Sheets</t>
  </si>
  <si>
    <t>Threshold Calc</t>
  </si>
  <si>
    <t>060.17174</t>
  </si>
  <si>
    <t>060.17939</t>
  </si>
  <si>
    <t>060.17965</t>
  </si>
  <si>
    <t>060.23518</t>
  </si>
  <si>
    <t>060.17874</t>
  </si>
  <si>
    <t>060.17173</t>
  </si>
  <si>
    <t>050.22367</t>
  </si>
  <si>
    <t>050.23851</t>
  </si>
  <si>
    <t>050.23853</t>
  </si>
  <si>
    <t>050.23854</t>
  </si>
  <si>
    <t>050.24045</t>
  </si>
  <si>
    <t>050.24049</t>
  </si>
  <si>
    <t>050.28449</t>
  </si>
  <si>
    <t>050.22404</t>
  </si>
  <si>
    <t>050.22406</t>
  </si>
  <si>
    <t>050.22408</t>
  </si>
  <si>
    <t>050.22409</t>
  </si>
  <si>
    <t>050.23696</t>
  </si>
  <si>
    <t>050.23698</t>
  </si>
  <si>
    <t>050.23699</t>
  </si>
  <si>
    <t>050.23888</t>
  </si>
  <si>
    <t>050.23890</t>
  </si>
  <si>
    <t>050.23892</t>
  </si>
  <si>
    <t>050.23893</t>
  </si>
  <si>
    <t>050.24047</t>
  </si>
  <si>
    <t>050.26915</t>
  </si>
  <si>
    <t>050.22366</t>
  </si>
  <si>
    <t>050.22368</t>
  </si>
  <si>
    <t>050.22407</t>
  </si>
  <si>
    <t>050.23848</t>
  </si>
  <si>
    <t>050.23850</t>
  </si>
  <si>
    <t>050.23852</t>
  </si>
  <si>
    <t>050.24044</t>
  </si>
  <si>
    <t>050.24046</t>
  </si>
  <si>
    <t>050.23693</t>
  </si>
  <si>
    <t>050.23695</t>
  </si>
  <si>
    <t>050.23697</t>
  </si>
  <si>
    <t>050.23889</t>
  </si>
  <si>
    <t>050.23891</t>
  </si>
  <si>
    <t>060.17900</t>
  </si>
  <si>
    <t>060.17952</t>
  </si>
  <si>
    <t>060.23513</t>
  </si>
  <si>
    <t>060.23517</t>
  </si>
  <si>
    <t>050.23731</t>
  </si>
  <si>
    <t>050.23733</t>
  </si>
  <si>
    <t>050.23735</t>
  </si>
  <si>
    <t>050.23926</t>
  </si>
  <si>
    <t>050.23928</t>
  </si>
  <si>
    <t>050.23930</t>
  </si>
  <si>
    <t>060.17913</t>
  </si>
  <si>
    <t>060.17926</t>
  </si>
  <si>
    <t>060.23515</t>
  </si>
  <si>
    <t>060.17978</t>
  </si>
  <si>
    <t>050.23771</t>
  </si>
  <si>
    <t>050.23773</t>
  </si>
  <si>
    <t>050.23967</t>
  </si>
  <si>
    <t>050.23969</t>
  </si>
  <si>
    <t>050.23971</t>
  </si>
  <si>
    <t>050.23972</t>
  </si>
  <si>
    <t>050.23775</t>
  </si>
  <si>
    <t>050.23776</t>
  </si>
  <si>
    <t>050.23809</t>
  </si>
  <si>
    <t>050.23811</t>
  </si>
  <si>
    <t>050.23813</t>
  </si>
  <si>
    <t>050.23814</t>
  </si>
  <si>
    <t>050.24006</t>
  </si>
  <si>
    <t>050.24008</t>
  </si>
  <si>
    <t>050.24011</t>
  </si>
  <si>
    <t>050.23770</t>
  </si>
  <si>
    <t>050.23774</t>
  </si>
  <si>
    <t>050.23966</t>
  </si>
  <si>
    <t>050.23968</t>
  </si>
  <si>
    <t>050.23772</t>
  </si>
  <si>
    <t>050.23970</t>
  </si>
  <si>
    <t>050.23808</t>
  </si>
  <si>
    <t>050.23810</t>
  </si>
  <si>
    <t>050.23812</t>
  </si>
  <si>
    <t>050.24007</t>
  </si>
  <si>
    <t>050.24009</t>
  </si>
  <si>
    <t>050.23732</t>
  </si>
  <si>
    <t>050.23734</t>
  </si>
  <si>
    <t>050.23736</t>
  </si>
  <si>
    <t>050.23737</t>
  </si>
  <si>
    <t>050.23927</t>
  </si>
  <si>
    <t>050.23931</t>
  </si>
  <si>
    <t>050.23932</t>
  </si>
  <si>
    <t>050.17902</t>
  </si>
  <si>
    <t>*Average customers 12 months ending September 30, 2011; per Atmos annual filing at 12/31/2011.</t>
  </si>
  <si>
    <t>050.MO.KirksvilIntegFunct2007</t>
  </si>
  <si>
    <t>050.MO.CaruthersIntegFunct2008</t>
  </si>
  <si>
    <t>050.MO.SikestonIntegFunct2008</t>
  </si>
  <si>
    <t>050.MO.KirksIntegFunct2008v2</t>
  </si>
  <si>
    <t>050.MO.CaruthersIntegFunct2009</t>
  </si>
  <si>
    <t>050.MO.JacksonIntegFunct2009</t>
  </si>
  <si>
    <t>050.MO.KirksIntegFunct2009</t>
  </si>
  <si>
    <t>050.MO.MaldenIntegFunct2009</t>
  </si>
  <si>
    <t>050.MO.SikestonIntegFunct2009</t>
  </si>
  <si>
    <t>050.MO.HannibalIntegFunct2010</t>
  </si>
  <si>
    <t>050.MO.JacksonIntegFunct2010</t>
  </si>
  <si>
    <t>050.MO.KirksIntegFunct2010</t>
  </si>
  <si>
    <t>050.MO.CarutherLeakFunct2010</t>
  </si>
  <si>
    <t>050.MO.JacksonLeakFunct2010</t>
  </si>
  <si>
    <t>050.MO.KirksvilleLeakFunct2010</t>
  </si>
  <si>
    <t>050.MO.MaldenLeakFunct2010</t>
  </si>
  <si>
    <t>050.MO.SikestonLeakFunct2010</t>
  </si>
  <si>
    <t>050.MO.CantonIntegMains</t>
  </si>
  <si>
    <t>050.MO.HannibalIntegMains</t>
  </si>
  <si>
    <t>050.MO.JacksonIntegMains</t>
  </si>
  <si>
    <t>050.MO.KirksvilleIntegMains</t>
  </si>
  <si>
    <t>050.MO.MaldenIntegMains</t>
  </si>
  <si>
    <t>050.MO.SikestonIntegMains</t>
  </si>
  <si>
    <t>CantonIntegServices</t>
  </si>
  <si>
    <t>CaruthersvilleIntegServices</t>
  </si>
  <si>
    <t>HannibalIntegServices</t>
  </si>
  <si>
    <t>JacksonIntegServices</t>
  </si>
  <si>
    <t>KirksvilleIntegServices</t>
  </si>
  <si>
    <t>MaldenIntegServies</t>
  </si>
  <si>
    <t>SikestonIntegServices</t>
  </si>
  <si>
    <t>MO.Canton Integ RESI MEAS</t>
  </si>
  <si>
    <t>Caruthersville Integ RESI MEAS</t>
  </si>
  <si>
    <t>MO.Hannibal Integ RESI MEAS</t>
  </si>
  <si>
    <t>MO.Jackson Integ RESI MEAS</t>
  </si>
  <si>
    <t>MO.Kirksville Integ RESI MEAS</t>
  </si>
  <si>
    <t>MO.Malden Integ RESI MEAS</t>
  </si>
  <si>
    <t>MO.Sikeston Integ RESI MEAS</t>
  </si>
  <si>
    <t>CantonintegRegs</t>
  </si>
  <si>
    <t>CaruthersvilleIntegRegs</t>
  </si>
  <si>
    <t>HannibalIntegRegs</t>
  </si>
  <si>
    <t>JacksonIntegRegs</t>
  </si>
  <si>
    <t>KirksvilleIntegRegs</t>
  </si>
  <si>
    <t>MaldenIntegRegs</t>
  </si>
  <si>
    <t>SikestonIntegRegs</t>
  </si>
  <si>
    <t>MO.Canton Integ CP/ ANODES</t>
  </si>
  <si>
    <t>HannibalInteg CP/ ANODES</t>
  </si>
  <si>
    <t>JacksonInteg CP/ ANODES</t>
  </si>
  <si>
    <t>KirksvilleInteg CP/ ANODES</t>
  </si>
  <si>
    <t>MaldenInteg CP/ ANODES</t>
  </si>
  <si>
    <t>SikestonInteg CP/ ANODES</t>
  </si>
  <si>
    <t>CaruthersvilleLeakMains</t>
  </si>
  <si>
    <t>HannibalLeakMains</t>
  </si>
  <si>
    <t>JacksonLeakMains</t>
  </si>
  <si>
    <t>KirksvilleLeakMains</t>
  </si>
  <si>
    <t>MaldenLeakMains</t>
  </si>
  <si>
    <t>SikestonLeakMains</t>
  </si>
  <si>
    <t>CantonLeakServices</t>
  </si>
  <si>
    <t>CaruthersvilleLeakServices</t>
  </si>
  <si>
    <t>HannibalLeakServices</t>
  </si>
  <si>
    <t>JacksonLeakServices</t>
  </si>
  <si>
    <t>KirksvilleLeakServices</t>
  </si>
  <si>
    <t>MaldenLeakServices</t>
  </si>
  <si>
    <t>SikestonLeakServices</t>
  </si>
  <si>
    <t>MO.Canton Integ COMM MEAS</t>
  </si>
  <si>
    <t>Caruthersville Integ COMM MEAS</t>
  </si>
  <si>
    <t>MO.Hannibal Integ COMM MEAS</t>
  </si>
  <si>
    <t>MO.Jackson Integ COMM MEAS</t>
  </si>
  <si>
    <t>MO.Kirksville Integ COMM MEAS</t>
  </si>
  <si>
    <t>MO.Malden Integ COMM MEAS</t>
  </si>
  <si>
    <t>MO.Sikeston Integ COMM MEAS</t>
  </si>
  <si>
    <t>CaruthersvilleLeakRegs</t>
  </si>
  <si>
    <t>HannibalLeakRegs</t>
  </si>
  <si>
    <t>JacksonLeakRegs</t>
  </si>
  <si>
    <t>KirksvilleLeakRegs</t>
  </si>
  <si>
    <t>SikestonLeakRegs</t>
  </si>
  <si>
    <t>CantonLeakCP/LeakClamps</t>
  </si>
  <si>
    <t>CaruthLeakCP/LeakClamps</t>
  </si>
  <si>
    <t>HannibalLeakCP/LeakClamps</t>
  </si>
  <si>
    <t>JacksonLeakCP/LeakClamps</t>
  </si>
  <si>
    <t>MaldenLeakCP/LeakClamps</t>
  </si>
  <si>
    <t>050.072.3374.NM.61Rel</t>
  </si>
  <si>
    <t>050.072.3375.61 Rel</t>
  </si>
  <si>
    <t>060.3371.2010.NON GROWTH FUNC</t>
  </si>
  <si>
    <t>060.3371.2010.LEAKAGE FUNC</t>
  </si>
  <si>
    <t>060.3371.Butler.NGMains</t>
  </si>
  <si>
    <t>060.3371.Butler.NGServices</t>
  </si>
  <si>
    <t>060.3371.Butler.NGMeters</t>
  </si>
  <si>
    <t>060.3371.Butler.NGLoops</t>
  </si>
  <si>
    <t>060.3371.Butler.LKMains</t>
  </si>
  <si>
    <t>060.3371.Butler.LKServices</t>
  </si>
  <si>
    <t>060.3371.Butler.LKClamps</t>
  </si>
  <si>
    <t>060.3371.Butler.NGRegs</t>
  </si>
  <si>
    <t>3371-NG SRVCS FUNCTIONAL</t>
  </si>
  <si>
    <t>3371-NG RESI MEAS MTRS REGS LP</t>
  </si>
  <si>
    <t>3371-NG LK SRVCS FUNCTIONAL</t>
  </si>
  <si>
    <t>3371-NG ANODE/CATHODIC</t>
  </si>
  <si>
    <t>050.23929</t>
  </si>
  <si>
    <t>Total Net Decrease in Depreciation</t>
  </si>
  <si>
    <t>Liberty Utilities</t>
  </si>
  <si>
    <t>ISRS Property Taxes Ending December 31, 2012</t>
  </si>
  <si>
    <t>The above rendered property equals the plant in service used for the 2012 property tax returns (plant in service is as of 12/31/2012).</t>
  </si>
  <si>
    <t>The tax rates calculated in cells D6, D7, D9, D10 compare (ratio) the plant in service with the actual 2012 calendar year property taxes.</t>
  </si>
  <si>
    <t>May 31, 2013</t>
  </si>
  <si>
    <t xml:space="preserve">    State = .0625 * (Taxable income - .5*Taxable income)</t>
  </si>
  <si>
    <t xml:space="preserve">    Federal = Taxable income * .35 * (1 - .0625) / (1 - .0625 * .35*.5)</t>
  </si>
  <si>
    <t>8852-0401-12007</t>
  </si>
  <si>
    <t>8852-0401-12004</t>
  </si>
  <si>
    <t>8852-0401-13208</t>
  </si>
  <si>
    <t>8852-0401-13207</t>
  </si>
  <si>
    <t>8852-0401-13204</t>
  </si>
  <si>
    <t>8852-0401-13109</t>
  </si>
  <si>
    <t>8852-0401-13108</t>
  </si>
  <si>
    <t>8852-0401-13107</t>
  </si>
  <si>
    <t>8852-0401-13104</t>
  </si>
  <si>
    <t>8852-0401-12008</t>
  </si>
  <si>
    <t>NGF Leak Mains inc Clamps</t>
  </si>
  <si>
    <t>NGF Anodes / Cathodic Prot</t>
  </si>
  <si>
    <t>NGF Mains</t>
  </si>
  <si>
    <t>NGF Leak Services inc Clamps</t>
  </si>
  <si>
    <t>8852-0401-12006</t>
  </si>
  <si>
    <t>8852-0401-13210</t>
  </si>
  <si>
    <t>8852-0401-13206</t>
  </si>
  <si>
    <t>8852-0401-13110</t>
  </si>
  <si>
    <t>8852-0401-13106</t>
  </si>
  <si>
    <t>8852-0401-12010</t>
  </si>
  <si>
    <t>8852-0400-12001</t>
  </si>
  <si>
    <t>8852-0401-13205</t>
  </si>
  <si>
    <t>8852-0401-13105</t>
  </si>
  <si>
    <t>8852-0401-12005</t>
  </si>
  <si>
    <t>NGF Services</t>
  </si>
  <si>
    <t>GF Res Meters/Loops/Regs</t>
  </si>
  <si>
    <t>NGF Res Meters/Loops/Regs</t>
  </si>
  <si>
    <t>NGF Com Meters/Loops/Regs</t>
  </si>
  <si>
    <t>8853-0401-12004</t>
  </si>
  <si>
    <t>8853-0401-12007</t>
  </si>
  <si>
    <t>8853-0401-12008</t>
  </si>
  <si>
    <t>8853-0401-12009</t>
  </si>
  <si>
    <t>8853-0401-13104</t>
  </si>
  <si>
    <t>8853-0401-13107</t>
  </si>
  <si>
    <t>8853-0401-13108</t>
  </si>
  <si>
    <t>8853-0401-13109</t>
  </si>
  <si>
    <t>8853-0401-13204</t>
  </si>
  <si>
    <t>8853-0401-13207</t>
  </si>
  <si>
    <t>8853-0401-13208</t>
  </si>
  <si>
    <t>8853-0401-13209</t>
  </si>
  <si>
    <t>8853-0403-12004</t>
  </si>
  <si>
    <t>8853-0403-12007</t>
  </si>
  <si>
    <t>8853-0403-12008</t>
  </si>
  <si>
    <t>8853-0403-12009</t>
  </si>
  <si>
    <t>8853-0403-13104</t>
  </si>
  <si>
    <t>8853-0403-13107</t>
  </si>
  <si>
    <t>8853-0403-13108</t>
  </si>
  <si>
    <t>8853-0403-13109</t>
  </si>
  <si>
    <t>8853-0403-13204</t>
  </si>
  <si>
    <t>8853-0403-13208</t>
  </si>
  <si>
    <t>8853-0403-13209</t>
  </si>
  <si>
    <t>8853-0404-12004</t>
  </si>
  <si>
    <t>8853-0404-12007</t>
  </si>
  <si>
    <t>8853-0404-12008</t>
  </si>
  <si>
    <t>8853-0404-12009</t>
  </si>
  <si>
    <t>8853-0404-12011</t>
  </si>
  <si>
    <t>8853-0404-13104</t>
  </si>
  <si>
    <t>8853-0404-13107</t>
  </si>
  <si>
    <t>8853-0404-13108</t>
  </si>
  <si>
    <t>8853-0404-13109</t>
  </si>
  <si>
    <t>8853-0404-13204</t>
  </si>
  <si>
    <t>8853-0404-13207</t>
  </si>
  <si>
    <t>8853-0404-13208</t>
  </si>
  <si>
    <t>8853-0404-13209</t>
  </si>
  <si>
    <t>8853-0405-12004</t>
  </si>
  <si>
    <t>8853-0405-12007</t>
  </si>
  <si>
    <t>8853-0405-12008</t>
  </si>
  <si>
    <t>8853-0405-12009</t>
  </si>
  <si>
    <t>8853-0405-13104</t>
  </si>
  <si>
    <t>8853-0405-13107</t>
  </si>
  <si>
    <t>8853-0405-13108</t>
  </si>
  <si>
    <t>8853-0405-13109</t>
  </si>
  <si>
    <t>8853-0405-13204</t>
  </si>
  <si>
    <t>8853-0405-13207</t>
  </si>
  <si>
    <t>8853-0405-13208</t>
  </si>
  <si>
    <t>8853-0405-13209</t>
  </si>
  <si>
    <t>8853-0404-12012</t>
  </si>
  <si>
    <t>8853-0404-12014</t>
  </si>
  <si>
    <t>8853-0405-12011</t>
  </si>
  <si>
    <t>TDW STOPPING EQUIPMENT</t>
  </si>
  <si>
    <t>NGF Anodes/ Cathodic Prot</t>
  </si>
  <si>
    <t>Stotlar and Traveler Way</t>
  </si>
  <si>
    <t>050-32099-01202 NEW MAIN EXT</t>
  </si>
  <si>
    <t>072.3374.61 Hwy Ground Bed</t>
  </si>
  <si>
    <t>8853-0401-12005</t>
  </si>
  <si>
    <t>8853-0401-13105</t>
  </si>
  <si>
    <t>8853-0401-13205</t>
  </si>
  <si>
    <t>8853-0403-12005</t>
  </si>
  <si>
    <t>8853-0403-13105</t>
  </si>
  <si>
    <t>8853-0403-13205</t>
  </si>
  <si>
    <t>8853-0404-12005</t>
  </si>
  <si>
    <t>8853-0404-13105</t>
  </si>
  <si>
    <t>8853-0404-13205</t>
  </si>
  <si>
    <t>8853-0405-12005</t>
  </si>
  <si>
    <t>8853-0405-13105</t>
  </si>
  <si>
    <t>8853-0405-13205</t>
  </si>
  <si>
    <t>8853-0400-12001</t>
  </si>
  <si>
    <t>8853-0401-12006</t>
  </si>
  <si>
    <t>8853-0401-12010</t>
  </si>
  <si>
    <t>8853-0401-13106</t>
  </si>
  <si>
    <t>8853-0401-13110</t>
  </si>
  <si>
    <t>8853-0401-13206</t>
  </si>
  <si>
    <t>8853-0401-13210</t>
  </si>
  <si>
    <t>8853-0403-12006</t>
  </si>
  <si>
    <t>8853-0403-12010</t>
  </si>
  <si>
    <t>8853-0403-13106</t>
  </si>
  <si>
    <t>8853-0403-13110</t>
  </si>
  <si>
    <t>8853-0403-13206</t>
  </si>
  <si>
    <t>8853-0403-13210</t>
  </si>
  <si>
    <t>8853-0404-12006</t>
  </si>
  <si>
    <t>8853-0404-12010</t>
  </si>
  <si>
    <t>8853-0404-13106</t>
  </si>
  <si>
    <t>8853-0404-13110</t>
  </si>
  <si>
    <t>8853-0404-13206</t>
  </si>
  <si>
    <t>8853-0404-13210</t>
  </si>
  <si>
    <t>8853-0405-12006</t>
  </si>
  <si>
    <t>8853-0405-12010</t>
  </si>
  <si>
    <t>8853-0405-13106</t>
  </si>
  <si>
    <t>8853-0405-13110</t>
  </si>
  <si>
    <t>8853-0405-13206</t>
  </si>
  <si>
    <t>8853-0405-13210</t>
  </si>
  <si>
    <t>8854-0401-12004</t>
  </si>
  <si>
    <t>8854-0401-12008</t>
  </si>
  <si>
    <t>8854-0401-12010</t>
  </si>
  <si>
    <t>8854-0401-13104</t>
  </si>
  <si>
    <t>8854-0401-13108</t>
  </si>
  <si>
    <t>8854-0401-13109</t>
  </si>
  <si>
    <t>8854-0401-13110</t>
  </si>
  <si>
    <t>8854-0401-13204</t>
  </si>
  <si>
    <t>8854-0401-13208</t>
  </si>
  <si>
    <t>8854-0401-13209</t>
  </si>
  <si>
    <t>8854-0401-13210</t>
  </si>
  <si>
    <t>8854-0402-12004</t>
  </si>
  <si>
    <t>8854-0402-12008</t>
  </si>
  <si>
    <t>8854-0402-12009</t>
  </si>
  <si>
    <t>8854-0402-12010</t>
  </si>
  <si>
    <t>8854-0402-13104</t>
  </si>
  <si>
    <t>8854-0402-13108</t>
  </si>
  <si>
    <t>8854-0402-13109</t>
  </si>
  <si>
    <t>8854-0402-13110</t>
  </si>
  <si>
    <t>8854-0402-13204</t>
  </si>
  <si>
    <t>8854-0402-13208</t>
  </si>
  <si>
    <t>8854-0402-13209</t>
  </si>
  <si>
    <t>8854-0402-13210</t>
  </si>
  <si>
    <t>8854-0403-12004</t>
  </si>
  <si>
    <t>8854-0403-12008</t>
  </si>
  <si>
    <t>8854-0403-12009</t>
  </si>
  <si>
    <t>8854-0403-12010</t>
  </si>
  <si>
    <t>8854-0403-13104</t>
  </si>
  <si>
    <t>8854-0403-13108</t>
  </si>
  <si>
    <t>8854-0403-13109</t>
  </si>
  <si>
    <t>8854-0403-13110</t>
  </si>
  <si>
    <t>8854-0403-13209</t>
  </si>
  <si>
    <t>8854-0403-13210</t>
  </si>
  <si>
    <t>8854-0402-12011</t>
  </si>
  <si>
    <t>097.3336.CON CI</t>
  </si>
  <si>
    <t>8854-0401-12005</t>
  </si>
  <si>
    <t>8854-0401-13105</t>
  </si>
  <si>
    <t>8854-0401-13205</t>
  </si>
  <si>
    <t>8854-0402-12005</t>
  </si>
  <si>
    <t>8854-0402-13105</t>
  </si>
  <si>
    <t>8854-0402-13205</t>
  </si>
  <si>
    <t>8854-0403-12005</t>
  </si>
  <si>
    <t>8854-0403-13105</t>
  </si>
  <si>
    <t>8854-0403-13205</t>
  </si>
  <si>
    <t>8854-0401-12007</t>
  </si>
  <si>
    <t>8854-0401-13107</t>
  </si>
  <si>
    <t>8854-0401-13207</t>
  </si>
  <si>
    <t>8854-0402-12007</t>
  </si>
  <si>
    <t>8854-0402-13107</t>
  </si>
  <si>
    <t>8854-0402-13207</t>
  </si>
  <si>
    <t>8854-0403-12007</t>
  </si>
  <si>
    <t>8854-0403-13107</t>
  </si>
  <si>
    <t>8854-0403-13207</t>
  </si>
  <si>
    <t>8854-0400-12001</t>
  </si>
  <si>
    <t>8854-0401-12006</t>
  </si>
  <si>
    <t>8854-0401-13106</t>
  </si>
  <si>
    <t>8854-0401-13206</t>
  </si>
  <si>
    <t>8854-0402-12006</t>
  </si>
  <si>
    <t>8854-0402-13106</t>
  </si>
  <si>
    <t>8854-0402-13206</t>
  </si>
  <si>
    <t>8854-0403-12006</t>
  </si>
  <si>
    <t>8854-0403-13106</t>
  </si>
  <si>
    <t>8854-0403-13206</t>
  </si>
  <si>
    <t>3371-NG MAINS FUNCTIONAL</t>
  </si>
  <si>
    <t>060.3371.09.NON GROWTH FUNC</t>
  </si>
  <si>
    <t>3371-NG COMM MEAS MTRS REGS LP</t>
  </si>
  <si>
    <t>050.072.3375.Reg St Repl Lynn</t>
  </si>
  <si>
    <t>Liberty Capex_072 SysImp</t>
  </si>
  <si>
    <t>Liberty CapEx072 PubImp</t>
  </si>
  <si>
    <t>050.072.3374.BRUNT REL</t>
  </si>
  <si>
    <t>050.097.3370.Dover</t>
  </si>
  <si>
    <t>050.MO.HannibalIntegFunct2008</t>
  </si>
  <si>
    <t>060.23512</t>
  </si>
  <si>
    <t>060.23514</t>
  </si>
  <si>
    <t>050.072.3374.Pux.51 Rel</t>
  </si>
  <si>
    <t>050.29482</t>
  </si>
  <si>
    <t>050.30604</t>
  </si>
  <si>
    <t>050.29987</t>
  </si>
  <si>
    <t>050.30872</t>
  </si>
  <si>
    <t>050.097.3336.Carr</t>
  </si>
  <si>
    <t>DIS-37602-Main, PE, 2 in.</t>
  </si>
  <si>
    <t>DIS-37602-Main, PVC, X&lt;=1in</t>
  </si>
  <si>
    <t>DIS-37601-Main, Steel, X&lt;=1in.</t>
  </si>
  <si>
    <t>DIS-37601-Main, Steel, 2 in.</t>
  </si>
  <si>
    <t>DIS-37601-Main, Steel, 3 in.</t>
  </si>
  <si>
    <t>DIS-37601-Main, Steel, 4 in.</t>
  </si>
  <si>
    <t>DIS-37600-Cathodic Protection</t>
  </si>
  <si>
    <t>DIS-37602-Main, PE, X&lt;=1in</t>
  </si>
  <si>
    <t>TRN-36701-Main, Steel, 2 in.</t>
  </si>
  <si>
    <t>TRN-36701-Main, Steel, 6 in.</t>
  </si>
  <si>
    <t>TRN-36701-Main, Steel, 4 in.</t>
  </si>
  <si>
    <t>Service, Generic, 2 in.</t>
  </si>
  <si>
    <t>DIS-37602-Main, PE, 3 in.</t>
  </si>
  <si>
    <t>DIS-38000-Service, PE, 2 in.</t>
  </si>
  <si>
    <t>37600</t>
  </si>
  <si>
    <t>37601</t>
  </si>
  <si>
    <t>37602</t>
  </si>
  <si>
    <t>050.21023</t>
  </si>
  <si>
    <t>050.19541</t>
  </si>
  <si>
    <t>050.21019</t>
  </si>
  <si>
    <t>050.21025</t>
  </si>
  <si>
    <t>050.26370</t>
  </si>
  <si>
    <t>050.32133</t>
  </si>
  <si>
    <t>050.32134</t>
  </si>
  <si>
    <t>060.16401</t>
  </si>
  <si>
    <t>050.19551</t>
  </si>
  <si>
    <t>050.21015</t>
  </si>
  <si>
    <t>050.19542</t>
  </si>
  <si>
    <t>050.20302</t>
  </si>
  <si>
    <t>050.21021</t>
  </si>
  <si>
    <t>38100</t>
  </si>
  <si>
    <t>38200</t>
  </si>
  <si>
    <t>38300</t>
  </si>
  <si>
    <t>37900</t>
  </si>
  <si>
    <t>050.25664</t>
  </si>
  <si>
    <t>050.097.3370.LaPlata</t>
  </si>
  <si>
    <t>Total ADIT</t>
  </si>
  <si>
    <t>NBV Aug 1</t>
  </si>
  <si>
    <t>2012 Tax 
Depreciation</t>
  </si>
  <si>
    <t>2013 Tax 
Depreciation</t>
  </si>
  <si>
    <t>Total Tax 
Depreciation</t>
  </si>
  <si>
    <t>Tax Basis May 2013</t>
  </si>
  <si>
    <t>Book Basis
May 2013</t>
  </si>
  <si>
    <t>Timing Difference</t>
  </si>
  <si>
    <t>ADIT</t>
  </si>
  <si>
    <t>Jun-Jul12</t>
  </si>
  <si>
    <t>Aug12</t>
  </si>
  <si>
    <t>Sep12</t>
  </si>
  <si>
    <t>Oct12</t>
  </si>
  <si>
    <t>Nov12-May13</t>
  </si>
  <si>
    <t>MO Retirement</t>
  </si>
  <si>
    <t xml:space="preserve">NEMO </t>
  </si>
  <si>
    <t>Federal Tax Rate</t>
  </si>
  <si>
    <t>MO Tax Rate</t>
  </si>
  <si>
    <t>Year 1</t>
  </si>
  <si>
    <t>Year 2</t>
  </si>
  <si>
    <t>MACRS20</t>
  </si>
  <si>
    <t>8852-0402-13204</t>
  </si>
  <si>
    <t>DIS-37601-Main, Steel, 8 in.</t>
  </si>
  <si>
    <t>8854-0403-13203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</si>
</sst>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"/>
    <numFmt numFmtId="166" formatCode="0.0000"/>
    <numFmt numFmtId="167" formatCode="&quot;$&quot;#,##0.00"/>
    <numFmt numFmtId="168" formatCode="0.000%"/>
    <numFmt numFmtId="169" formatCode="_(* #,##0_);_(* \(#,##0\);_(* &quot;-&quot;??_);_(@_)"/>
    <numFmt numFmtId="170" formatCode="0.00000"/>
    <numFmt numFmtId="171" formatCode="#,##0.0000_);\(#,##0.0000\)"/>
    <numFmt numFmtId="172" formatCode="[$-409]mmm\-yy;@"/>
    <numFmt numFmtId="173" formatCode="0.00000%"/>
    <numFmt numFmtId="174" formatCode="0.0%"/>
    <numFmt numFmtId="175" formatCode="_(* #,##0.00000_);_(* \(#,##0.00000\);_(* &quot;-&quot;??_);_(@_)"/>
    <numFmt numFmtId="176" formatCode="0.00000000000%"/>
    <numFmt numFmtId="177" formatCode="_(* #,##0.0000000_);_(* \(#,##0.0000000\);_(* &quot;-&quot;???????_);_(@_)"/>
    <numFmt numFmtId="178" formatCode="0.000000%"/>
    <numFmt numFmtId="179" formatCode="_(&quot;$&quot;* #,##0.00000_);_(&quot;$&quot;* \(#,##0.00000\);_(&quot;$&quot;* &quot;-&quot;??_);_(@_)"/>
    <numFmt numFmtId="180" formatCode="#,##0.00_ ;[Red]\-#,##0.00\ "/>
    <numFmt numFmtId="181" formatCode="_(* #,##0.000000_);_(* \(#,##0.000000\);_(* &quot;-&quot;??_);_(@_)"/>
    <numFmt numFmtId="182" formatCode="_(* #,##0.000000_);_(* \(#,##0.000000\);_(* &quot;-&quot;???????_);_(@_)"/>
  </numFmts>
  <fonts count="4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.5"/>
      <name val="Arial"/>
      <family val="2"/>
    </font>
    <font>
      <sz val="12"/>
      <name val="Times New Roman"/>
      <family val="1"/>
    </font>
    <font>
      <sz val="12"/>
      <name val="Tms Rmn"/>
    </font>
    <font>
      <b/>
      <sz val="12"/>
      <name val="Tms Rmn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2"/>
      <color indexed="13"/>
      <name val="Tms Rmn"/>
    </font>
    <font>
      <sz val="12"/>
      <name val="Times New Roman"/>
      <family val="1"/>
    </font>
    <font>
      <sz val="10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u/>
      <sz val="12"/>
      <name val="Arial"/>
      <family val="2"/>
    </font>
    <font>
      <u val="doubleAccounting"/>
      <sz val="12"/>
      <color indexed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2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1"/>
    <xf numFmtId="0" fontId="2" fillId="0" borderId="0" applyNumberFormat="0" applyFill="0" applyBorder="0" applyAlignment="0" applyProtection="0">
      <alignment vertical="top"/>
      <protection locked="0"/>
    </xf>
    <xf numFmtId="0" fontId="21" fillId="2" borderId="1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0" fontId="22" fillId="3" borderId="0">
      <alignment horizontal="right"/>
    </xf>
    <xf numFmtId="0" fontId="23" fillId="4" borderId="0">
      <alignment horizontal="center"/>
    </xf>
    <xf numFmtId="0" fontId="24" fillId="5" borderId="2"/>
    <xf numFmtId="0" fontId="25" fillId="0" borderId="0" applyBorder="0">
      <alignment horizontal="centerContinuous"/>
    </xf>
    <xf numFmtId="0" fontId="26" fillId="0" borderId="0" applyBorder="0">
      <alignment horizontal="centerContinuous"/>
    </xf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1"/>
    <xf numFmtId="0" fontId="20" fillId="0" borderId="1"/>
    <xf numFmtId="0" fontId="27" fillId="6" borderId="0"/>
    <xf numFmtId="0" fontId="27" fillId="6" borderId="0"/>
    <xf numFmtId="0" fontId="21" fillId="0" borderId="3"/>
    <xf numFmtId="0" fontId="21" fillId="0" borderId="3"/>
    <xf numFmtId="0" fontId="21" fillId="0" borderId="1"/>
    <xf numFmtId="0" fontId="21" fillId="0" borderId="1"/>
  </cellStyleXfs>
  <cellXfs count="277">
    <xf numFmtId="0" fontId="0" fillId="0" borderId="0" xfId="0"/>
    <xf numFmtId="0" fontId="2" fillId="0" borderId="0" xfId="6" applyAlignment="1" applyProtection="1"/>
    <xf numFmtId="0" fontId="5" fillId="0" borderId="0" xfId="0" applyFont="1"/>
    <xf numFmtId="0" fontId="0" fillId="0" borderId="0" xfId="0" applyBorder="1"/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4" xfId="0" applyBorder="1"/>
    <xf numFmtId="17" fontId="0" fillId="0" borderId="4" xfId="0" applyNumberFormat="1" applyBorder="1"/>
    <xf numFmtId="39" fontId="0" fillId="0" borderId="4" xfId="0" applyNumberFormat="1" applyBorder="1"/>
    <xf numFmtId="17" fontId="0" fillId="0" borderId="0" xfId="0" applyNumberFormat="1" applyBorder="1"/>
    <xf numFmtId="39" fontId="0" fillId="0" borderId="0" xfId="0" applyNumberFormat="1" applyBorder="1"/>
    <xf numFmtId="1" fontId="0" fillId="0" borderId="0" xfId="0" applyNumberFormat="1" applyBorder="1"/>
    <xf numFmtId="0" fontId="6" fillId="0" borderId="0" xfId="0" applyFont="1" applyFill="1" applyBorder="1" applyAlignment="1">
      <alignment horizontal="right"/>
    </xf>
    <xf numFmtId="4" fontId="0" fillId="0" borderId="5" xfId="0" applyNumberFormat="1" applyBorder="1"/>
    <xf numFmtId="4" fontId="0" fillId="0" borderId="0" xfId="0" applyNumberFormat="1" applyBorder="1"/>
    <xf numFmtId="4" fontId="6" fillId="0" borderId="5" xfId="0" applyNumberFormat="1" applyFont="1" applyBorder="1"/>
    <xf numFmtId="0" fontId="6" fillId="0" borderId="0" xfId="0" applyFont="1"/>
    <xf numFmtId="0" fontId="0" fillId="0" borderId="4" xfId="0" applyNumberFormat="1" applyBorder="1"/>
    <xf numFmtId="0" fontId="0" fillId="0" borderId="0" xfId="0" applyNumberFormat="1" applyBorder="1"/>
    <xf numFmtId="0" fontId="0" fillId="0" borderId="0" xfId="0" applyBorder="1" applyAlignment="1">
      <alignment horizontal="center"/>
    </xf>
    <xf numFmtId="1" fontId="6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indent="5"/>
    </xf>
    <xf numFmtId="0" fontId="12" fillId="0" borderId="0" xfId="0" applyFont="1" applyAlignment="1">
      <alignment horizontal="left" indent="10"/>
    </xf>
    <xf numFmtId="165" fontId="10" fillId="0" borderId="0" xfId="0" applyNumberFormat="1" applyFont="1"/>
    <xf numFmtId="37" fontId="10" fillId="0" borderId="0" xfId="0" applyNumberFormat="1" applyFont="1"/>
    <xf numFmtId="37" fontId="12" fillId="0" borderId="6" xfId="0" applyNumberFormat="1" applyFont="1" applyBorder="1"/>
    <xf numFmtId="0" fontId="13" fillId="0" borderId="0" xfId="0" applyFont="1"/>
    <xf numFmtId="0" fontId="0" fillId="0" borderId="0" xfId="0" applyFill="1"/>
    <xf numFmtId="37" fontId="12" fillId="0" borderId="0" xfId="0" applyNumberFormat="1" applyFont="1"/>
    <xf numFmtId="37" fontId="12" fillId="0" borderId="7" xfId="0" applyNumberFormat="1" applyFont="1" applyBorder="1"/>
    <xf numFmtId="171" fontId="12" fillId="0" borderId="6" xfId="0" applyNumberFormat="1" applyFont="1" applyFill="1" applyBorder="1"/>
    <xf numFmtId="37" fontId="12" fillId="0" borderId="6" xfId="0" applyNumberFormat="1" applyFont="1" applyFill="1" applyBorder="1"/>
    <xf numFmtId="37" fontId="12" fillId="0" borderId="5" xfId="0" applyNumberFormat="1" applyFont="1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4" fontId="0" fillId="0" borderId="6" xfId="0" applyNumberFormat="1" applyBorder="1"/>
    <xf numFmtId="0" fontId="0" fillId="0" borderId="6" xfId="0" applyBorder="1"/>
    <xf numFmtId="3" fontId="0" fillId="0" borderId="0" xfId="0" applyNumberFormat="1"/>
    <xf numFmtId="0" fontId="15" fillId="0" borderId="0" xfId="0" applyFont="1"/>
    <xf numFmtId="37" fontId="0" fillId="0" borderId="0" xfId="0" applyNumberFormat="1"/>
    <xf numFmtId="2" fontId="0" fillId="0" borderId="0" xfId="0" applyNumberFormat="1"/>
    <xf numFmtId="166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Fill="1" applyBorder="1" applyAlignment="1">
      <alignment vertical="top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168" fontId="16" fillId="0" borderId="0" xfId="22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0" fontId="6" fillId="0" borderId="9" xfId="0" applyFont="1" applyFill="1" applyBorder="1" applyAlignment="1">
      <alignment horizontal="center" wrapText="1"/>
    </xf>
    <xf numFmtId="168" fontId="16" fillId="0" borderId="4" xfId="22" applyNumberFormat="1" applyFont="1" applyBorder="1" applyAlignment="1">
      <alignment horizontal="right"/>
    </xf>
    <xf numFmtId="0" fontId="0" fillId="0" borderId="10" xfId="0" applyBorder="1"/>
    <xf numFmtId="172" fontId="0" fillId="0" borderId="4" xfId="0" applyNumberFormat="1" applyBorder="1"/>
    <xf numFmtId="43" fontId="0" fillId="0" borderId="0" xfId="0" applyNumberFormat="1"/>
    <xf numFmtId="40" fontId="0" fillId="0" borderId="5" xfId="0" applyNumberFormat="1" applyBorder="1"/>
    <xf numFmtId="39" fontId="6" fillId="0" borderId="0" xfId="0" applyNumberFormat="1" applyFont="1" applyBorder="1"/>
    <xf numFmtId="0" fontId="0" fillId="0" borderId="6" xfId="0" applyBorder="1" applyAlignment="1">
      <alignment horizontal="center"/>
    </xf>
    <xf numFmtId="17" fontId="0" fillId="0" borderId="6" xfId="0" applyNumberFormat="1" applyBorder="1"/>
    <xf numFmtId="40" fontId="0" fillId="0" borderId="6" xfId="0" applyNumberFormat="1" applyBorder="1"/>
    <xf numFmtId="0" fontId="0" fillId="0" borderId="6" xfId="0" applyNumberFormat="1" applyBorder="1"/>
    <xf numFmtId="40" fontId="0" fillId="0" borderId="0" xfId="0" applyNumberFormat="1"/>
    <xf numFmtId="0" fontId="6" fillId="0" borderId="9" xfId="0" applyFont="1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6" fillId="0" borderId="0" xfId="0" applyFont="1"/>
    <xf numFmtId="0" fontId="6" fillId="0" borderId="0" xfId="0" applyNumberFormat="1" applyFont="1" applyBorder="1"/>
    <xf numFmtId="6" fontId="10" fillId="0" borderId="0" xfId="0" applyNumberFormat="1" applyFont="1" applyBorder="1"/>
    <xf numFmtId="38" fontId="10" fillId="0" borderId="0" xfId="0" applyNumberFormat="1" applyFont="1" applyFill="1"/>
    <xf numFmtId="38" fontId="10" fillId="0" borderId="6" xfId="0" applyNumberFormat="1" applyFont="1" applyBorder="1"/>
    <xf numFmtId="169" fontId="10" fillId="0" borderId="0" xfId="1" applyNumberFormat="1" applyFont="1"/>
    <xf numFmtId="169" fontId="12" fillId="0" borderId="6" xfId="1" applyNumberFormat="1" applyFont="1" applyBorder="1"/>
    <xf numFmtId="169" fontId="0" fillId="0" borderId="0" xfId="1" applyNumberFormat="1" applyFont="1"/>
    <xf numFmtId="0" fontId="16" fillId="0" borderId="8" xfId="0" applyFont="1" applyBorder="1" applyAlignment="1">
      <alignment horizontal="center"/>
    </xf>
    <xf numFmtId="167" fontId="16" fillId="0" borderId="0" xfId="0" applyNumberFormat="1" applyFont="1"/>
    <xf numFmtId="167" fontId="16" fillId="0" borderId="7" xfId="0" applyNumberFormat="1" applyFont="1" applyBorder="1"/>
    <xf numFmtId="0" fontId="16" fillId="0" borderId="0" xfId="0" applyFont="1" applyBorder="1"/>
    <xf numFmtId="4" fontId="16" fillId="0" borderId="14" xfId="0" applyNumberFormat="1" applyFont="1" applyBorder="1"/>
    <xf numFmtId="40" fontId="16" fillId="0" borderId="0" xfId="0" applyNumberFormat="1" applyFont="1" applyFill="1" applyBorder="1"/>
    <xf numFmtId="17" fontId="16" fillId="0" borderId="0" xfId="0" applyNumberFormat="1" applyFont="1" applyBorder="1"/>
    <xf numFmtId="39" fontId="16" fillId="0" borderId="0" xfId="0" applyNumberFormat="1" applyFont="1" applyBorder="1"/>
    <xf numFmtId="4" fontId="16" fillId="0" borderId="5" xfId="0" applyNumberFormat="1" applyFont="1" applyBorder="1"/>
    <xf numFmtId="4" fontId="16" fillId="0" borderId="0" xfId="0" applyNumberFormat="1" applyFont="1" applyBorder="1"/>
    <xf numFmtId="168" fontId="16" fillId="0" borderId="4" xfId="0" applyNumberFormat="1" applyFont="1" applyBorder="1"/>
    <xf numFmtId="4" fontId="16" fillId="0" borderId="4" xfId="0" applyNumberFormat="1" applyFont="1" applyBorder="1"/>
    <xf numFmtId="0" fontId="1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7" fontId="16" fillId="0" borderId="0" xfId="0" applyNumberFormat="1" applyFont="1" applyFill="1" applyBorder="1" applyAlignment="1">
      <alignment horizontal="right"/>
    </xf>
    <xf numFmtId="1" fontId="0" fillId="0" borderId="0" xfId="0" applyNumberFormat="1"/>
    <xf numFmtId="3" fontId="15" fillId="0" borderId="7" xfId="0" applyNumberFormat="1" applyFont="1" applyBorder="1"/>
    <xf numFmtId="164" fontId="15" fillId="0" borderId="7" xfId="0" applyNumberFormat="1" applyFont="1" applyBorder="1"/>
    <xf numFmtId="165" fontId="15" fillId="0" borderId="7" xfId="0" applyNumberFormat="1" applyFont="1" applyBorder="1"/>
    <xf numFmtId="3" fontId="6" fillId="0" borderId="15" xfId="0" applyNumberFormat="1" applyFont="1" applyBorder="1"/>
    <xf numFmtId="165" fontId="6" fillId="0" borderId="15" xfId="0" applyNumberFormat="1" applyFont="1" applyBorder="1"/>
    <xf numFmtId="2" fontId="15" fillId="0" borderId="0" xfId="0" applyNumberFormat="1" applyFont="1" applyBorder="1"/>
    <xf numFmtId="166" fontId="15" fillId="0" borderId="0" xfId="0" applyNumberFormat="1" applyFont="1" applyBorder="1"/>
    <xf numFmtId="0" fontId="15" fillId="0" borderId="0" xfId="0" applyFont="1" applyBorder="1"/>
    <xf numFmtId="166" fontId="0" fillId="0" borderId="0" xfId="0" applyNumberFormat="1" applyBorder="1"/>
    <xf numFmtId="0" fontId="6" fillId="0" borderId="0" xfId="0" applyFont="1" applyBorder="1"/>
    <xf numFmtId="164" fontId="6" fillId="0" borderId="15" xfId="22" applyNumberFormat="1" applyFont="1" applyBorder="1"/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3" fontId="6" fillId="0" borderId="8" xfId="0" applyNumberFormat="1" applyFont="1" applyBorder="1" applyAlignment="1">
      <alignment horizontal="center" wrapText="1"/>
    </xf>
    <xf numFmtId="5" fontId="18" fillId="0" borderId="0" xfId="0" applyNumberFormat="1" applyFont="1"/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0" fontId="12" fillId="0" borderId="6" xfId="0" applyNumberFormat="1" applyFont="1" applyFill="1" applyBorder="1"/>
    <xf numFmtId="166" fontId="10" fillId="0" borderId="0" xfId="0" applyNumberFormat="1" applyFont="1" applyFill="1"/>
    <xf numFmtId="168" fontId="6" fillId="0" borderId="8" xfId="22" applyNumberFormat="1" applyFont="1" applyFill="1" applyBorder="1" applyAlignment="1">
      <alignment horizontal="center"/>
    </xf>
    <xf numFmtId="0" fontId="20" fillId="0" borderId="0" xfId="16"/>
    <xf numFmtId="0" fontId="29" fillId="0" borderId="0" xfId="16" applyFont="1" applyAlignment="1">
      <alignment horizontal="center"/>
    </xf>
    <xf numFmtId="0" fontId="20" fillId="0" borderId="0" xfId="16" applyBorder="1"/>
    <xf numFmtId="0" fontId="16" fillId="0" borderId="0" xfId="16" applyFont="1" applyAlignment="1">
      <alignment horizontal="center"/>
    </xf>
    <xf numFmtId="0" fontId="28" fillId="0" borderId="0" xfId="16" applyFont="1" applyFill="1" applyBorder="1"/>
    <xf numFmtId="0" fontId="31" fillId="0" borderId="0" xfId="16" applyFont="1" applyFill="1" applyBorder="1" applyAlignment="1">
      <alignment horizontal="left"/>
    </xf>
    <xf numFmtId="174" fontId="28" fillId="0" borderId="0" xfId="22" applyNumberFormat="1" applyFont="1" applyBorder="1"/>
    <xf numFmtId="0" fontId="28" fillId="0" borderId="0" xfId="16" quotePrefix="1" applyFont="1" applyBorder="1"/>
    <xf numFmtId="173" fontId="30" fillId="0" borderId="0" xfId="22" applyNumberFormat="1" applyFont="1" applyFill="1" applyBorder="1"/>
    <xf numFmtId="176" fontId="28" fillId="0" borderId="0" xfId="16" applyNumberFormat="1" applyFont="1" applyBorder="1"/>
    <xf numFmtId="174" fontId="28" fillId="0" borderId="0" xfId="16" applyNumberFormat="1" applyFont="1" applyBorder="1"/>
    <xf numFmtId="173" fontId="30" fillId="0" borderId="0" xfId="16" applyNumberFormat="1" applyFont="1" applyBorder="1"/>
    <xf numFmtId="0" fontId="32" fillId="0" borderId="0" xfId="16" applyFont="1" applyAlignment="1">
      <alignment horizontal="left" indent="1"/>
    </xf>
    <xf numFmtId="170" fontId="33" fillId="0" borderId="0" xfId="16" applyNumberFormat="1" applyFont="1"/>
    <xf numFmtId="0" fontId="32" fillId="0" borderId="0" xfId="16" applyFont="1"/>
    <xf numFmtId="5" fontId="34" fillId="0" borderId="0" xfId="16" applyNumberFormat="1" applyFont="1" applyBorder="1"/>
    <xf numFmtId="5" fontId="20" fillId="0" borderId="0" xfId="16" applyNumberFormat="1"/>
    <xf numFmtId="37" fontId="12" fillId="0" borderId="7" xfId="0" applyNumberFormat="1" applyFont="1" applyFill="1" applyBorder="1"/>
    <xf numFmtId="37" fontId="12" fillId="0" borderId="0" xfId="0" applyNumberFormat="1" applyFont="1" applyFill="1"/>
    <xf numFmtId="0" fontId="4" fillId="0" borderId="0" xfId="16" applyFont="1" applyAlignment="1">
      <alignment horizontal="centerContinuous"/>
    </xf>
    <xf numFmtId="0" fontId="32" fillId="0" borderId="0" xfId="16" applyFont="1" applyAlignment="1">
      <alignment horizontal="centerContinuous"/>
    </xf>
    <xf numFmtId="0" fontId="32" fillId="0" borderId="0" xfId="16" applyFont="1" applyAlignment="1"/>
    <xf numFmtId="0" fontId="32" fillId="0" borderId="0" xfId="16" applyFont="1" applyBorder="1"/>
    <xf numFmtId="0" fontId="16" fillId="0" borderId="0" xfId="16" applyFont="1" applyBorder="1" applyAlignment="1">
      <alignment horizontal="center"/>
    </xf>
    <xf numFmtId="0" fontId="35" fillId="0" borderId="0" xfId="16" applyFont="1"/>
    <xf numFmtId="0" fontId="32" fillId="0" borderId="6" xfId="16" applyFont="1" applyBorder="1"/>
    <xf numFmtId="0" fontId="6" fillId="0" borderId="0" xfId="16" applyFont="1" applyBorder="1" applyAlignment="1">
      <alignment horizontal="center"/>
    </xf>
    <xf numFmtId="0" fontId="4" fillId="0" borderId="0" xfId="16" applyFont="1" applyBorder="1" applyAlignment="1">
      <alignment horizontal="centerContinuous"/>
    </xf>
    <xf numFmtId="0" fontId="32" fillId="0" borderId="0" xfId="16" applyFont="1" applyBorder="1" applyAlignment="1">
      <alignment horizontal="left"/>
    </xf>
    <xf numFmtId="15" fontId="16" fillId="0" borderId="0" xfId="16" applyNumberFormat="1" applyFont="1" applyBorder="1"/>
    <xf numFmtId="10" fontId="32" fillId="0" borderId="0" xfId="22" applyNumberFormat="1" applyFont="1" applyBorder="1"/>
    <xf numFmtId="0" fontId="32" fillId="0" borderId="0" xfId="16" applyFont="1" applyFill="1"/>
    <xf numFmtId="15" fontId="16" fillId="0" borderId="0" xfId="16" applyNumberFormat="1" applyFont="1" applyFill="1" applyBorder="1"/>
    <xf numFmtId="175" fontId="32" fillId="0" borderId="0" xfId="1" applyNumberFormat="1" applyFont="1" applyFill="1" applyBorder="1"/>
    <xf numFmtId="43" fontId="16" fillId="0" borderId="0" xfId="1" applyFont="1" applyBorder="1"/>
    <xf numFmtId="169" fontId="32" fillId="0" borderId="0" xfId="16" applyNumberFormat="1" applyFont="1" applyBorder="1" applyAlignment="1">
      <alignment horizontal="right"/>
    </xf>
    <xf numFmtId="169" fontId="16" fillId="0" borderId="0" xfId="16" applyNumberFormat="1" applyFont="1" applyBorder="1"/>
    <xf numFmtId="0" fontId="0" fillId="0" borderId="0" xfId="0" applyAlignment="1"/>
    <xf numFmtId="10" fontId="0" fillId="0" borderId="0" xfId="22" applyNumberFormat="1" applyFont="1" applyFill="1" applyBorder="1"/>
    <xf numFmtId="10" fontId="6" fillId="0" borderId="0" xfId="0" applyNumberFormat="1" applyFont="1"/>
    <xf numFmtId="0" fontId="0" fillId="0" borderId="10" xfId="0" quotePrefix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7" fillId="0" borderId="10" xfId="0" applyFont="1" applyBorder="1" applyAlignment="1">
      <alignment horizontal="center"/>
    </xf>
    <xf numFmtId="177" fontId="6" fillId="0" borderId="4" xfId="0" applyNumberFormat="1" applyFont="1" applyBorder="1" applyAlignment="1">
      <alignment horizontal="center" wrapText="1"/>
    </xf>
    <xf numFmtId="0" fontId="0" fillId="0" borderId="16" xfId="0" quotePrefix="1" applyBorder="1" applyAlignment="1">
      <alignment horizontal="left"/>
    </xf>
    <xf numFmtId="0" fontId="0" fillId="0" borderId="4" xfId="0" quotePrefix="1" applyBorder="1"/>
    <xf numFmtId="0" fontId="0" fillId="0" borderId="9" xfId="0" applyBorder="1"/>
    <xf numFmtId="177" fontId="0" fillId="0" borderId="0" xfId="0" applyNumberFormat="1" applyBorder="1"/>
    <xf numFmtId="177" fontId="0" fillId="0" borderId="0" xfId="0" applyNumberFormat="1"/>
    <xf numFmtId="177" fontId="6" fillId="0" borderId="0" xfId="0" applyNumberFormat="1" applyFont="1"/>
    <xf numFmtId="177" fontId="6" fillId="0" borderId="0" xfId="0" applyNumberFormat="1" applyFont="1" applyBorder="1"/>
    <xf numFmtId="177" fontId="16" fillId="0" borderId="0" xfId="0" applyNumberFormat="1" applyFont="1"/>
    <xf numFmtId="0" fontId="7" fillId="0" borderId="4" xfId="0" applyFont="1" applyFill="1" applyBorder="1" applyAlignment="1">
      <alignment horizontal="center"/>
    </xf>
    <xf numFmtId="39" fontId="0" fillId="0" borderId="4" xfId="0" applyNumberFormat="1" applyFill="1" applyBorder="1"/>
    <xf numFmtId="0" fontId="36" fillId="0" borderId="7" xfId="16" applyFont="1" applyBorder="1"/>
    <xf numFmtId="178" fontId="20" fillId="0" borderId="0" xfId="16" applyNumberFormat="1"/>
    <xf numFmtId="0" fontId="0" fillId="0" borderId="0" xfId="0" applyFill="1" applyBorder="1"/>
    <xf numFmtId="10" fontId="36" fillId="0" borderId="6" xfId="16" applyNumberFormat="1" applyFont="1" applyBorder="1" applyProtection="1"/>
    <xf numFmtId="10" fontId="36" fillId="0" borderId="7" xfId="22" applyNumberFormat="1" applyFont="1" applyBorder="1"/>
    <xf numFmtId="2" fontId="7" fillId="0" borderId="0" xfId="0" applyNumberFormat="1" applyFont="1"/>
    <xf numFmtId="0" fontId="1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0" fontId="1" fillId="0" borderId="0" xfId="22" applyNumberFormat="1" applyFill="1"/>
    <xf numFmtId="10" fontId="1" fillId="0" borderId="0" xfId="22" applyNumberFormat="1" applyFill="1" applyAlignment="1">
      <alignment horizontal="center"/>
    </xf>
    <xf numFmtId="10" fontId="1" fillId="0" borderId="0" xfId="22" applyNumberFormat="1" applyFill="1" applyBorder="1"/>
    <xf numFmtId="10" fontId="1" fillId="0" borderId="6" xfId="22" applyNumberFormat="1" applyFill="1" applyBorder="1"/>
    <xf numFmtId="168" fontId="1" fillId="0" borderId="6" xfId="22" applyNumberFormat="1" applyFill="1" applyBorder="1"/>
    <xf numFmtId="0" fontId="6" fillId="0" borderId="4" xfId="0" applyFont="1" applyFill="1" applyBorder="1" applyAlignment="1">
      <alignment horizontal="center" wrapText="1"/>
    </xf>
    <xf numFmtId="39" fontId="0" fillId="0" borderId="0" xfId="0" applyNumberFormat="1" applyFill="1" applyBorder="1"/>
    <xf numFmtId="0" fontId="16" fillId="0" borderId="0" xfId="0" applyNumberFormat="1" applyFont="1" applyFill="1"/>
    <xf numFmtId="0" fontId="16" fillId="0" borderId="0" xfId="0" applyFont="1" applyFill="1"/>
    <xf numFmtId="0" fontId="37" fillId="0" borderId="0" xfId="0" applyFont="1" applyFill="1"/>
    <xf numFmtId="0" fontId="37" fillId="0" borderId="0" xfId="0" applyFont="1" applyFill="1" applyAlignment="1"/>
    <xf numFmtId="174" fontId="0" fillId="0" borderId="0" xfId="22" applyNumberFormat="1" applyFont="1"/>
    <xf numFmtId="3" fontId="0" fillId="0" borderId="0" xfId="0" applyNumberFormat="1" applyFill="1"/>
    <xf numFmtId="17" fontId="41" fillId="0" borderId="0" xfId="0" applyNumberFormat="1" applyFont="1"/>
    <xf numFmtId="0" fontId="0" fillId="0" borderId="4" xfId="0" applyBorder="1" applyAlignment="1">
      <alignment horizontal="left"/>
    </xf>
    <xf numFmtId="169" fontId="39" fillId="7" borderId="0" xfId="1" applyNumberFormat="1" applyFont="1" applyFill="1"/>
    <xf numFmtId="37" fontId="39" fillId="7" borderId="0" xfId="1" applyNumberFormat="1" applyFont="1" applyFill="1"/>
    <xf numFmtId="178" fontId="16" fillId="0" borderId="0" xfId="22" applyNumberFormat="1" applyFont="1" applyBorder="1" applyAlignment="1">
      <alignment horizontal="right"/>
    </xf>
    <xf numFmtId="178" fontId="0" fillId="0" borderId="0" xfId="0" applyNumberFormat="1"/>
    <xf numFmtId="3" fontId="6" fillId="0" borderId="5" xfId="0" applyNumberFormat="1" applyFont="1" applyBorder="1"/>
    <xf numFmtId="179" fontId="0" fillId="0" borderId="0" xfId="2" applyNumberFormat="1" applyFont="1" applyFill="1"/>
    <xf numFmtId="168" fontId="16" fillId="0" borderId="0" xfId="22" applyNumberFormat="1" applyFont="1" applyBorder="1"/>
    <xf numFmtId="164" fontId="0" fillId="0" borderId="0" xfId="22" applyNumberFormat="1" applyFont="1" applyFill="1"/>
    <xf numFmtId="0" fontId="42" fillId="0" borderId="0" xfId="0" applyFont="1"/>
    <xf numFmtId="0" fontId="42" fillId="0" borderId="0" xfId="0" applyFont="1" applyAlignment="1">
      <alignment vertical="center" wrapText="1"/>
    </xf>
    <xf numFmtId="0" fontId="16" fillId="0" borderId="4" xfId="0" applyFont="1" applyBorder="1"/>
    <xf numFmtId="172" fontId="0" fillId="0" borderId="4" xfId="0" applyNumberFormat="1" applyFont="1" applyBorder="1"/>
    <xf numFmtId="0" fontId="0" fillId="0" borderId="4" xfId="0" applyBorder="1" applyAlignment="1">
      <alignment horizontal="center"/>
    </xf>
    <xf numFmtId="0" fontId="0" fillId="0" borderId="4" xfId="0" applyFont="1" applyBorder="1"/>
    <xf numFmtId="0" fontId="0" fillId="0" borderId="4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Fill="1" applyBorder="1" applyAlignment="1">
      <alignment horizontal="center" wrapText="1"/>
    </xf>
    <xf numFmtId="169" fontId="1" fillId="0" borderId="0" xfId="1" applyNumberFormat="1" applyBorder="1"/>
    <xf numFmtId="10" fontId="16" fillId="0" borderId="0" xfId="0" applyNumberFormat="1" applyFont="1" applyFill="1" applyBorder="1"/>
    <xf numFmtId="10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Border="1" applyAlignment="1">
      <alignment horizontal="right"/>
    </xf>
    <xf numFmtId="167" fontId="16" fillId="0" borderId="0" xfId="0" applyNumberFormat="1" applyFont="1" applyBorder="1"/>
    <xf numFmtId="172" fontId="0" fillId="0" borderId="9" xfId="0" applyNumberFormat="1" applyBorder="1"/>
    <xf numFmtId="49" fontId="40" fillId="0" borderId="0" xfId="0" applyNumberFormat="1" applyFont="1"/>
    <xf numFmtId="168" fontId="0" fillId="0" borderId="0" xfId="22" applyNumberFormat="1" applyFont="1"/>
    <xf numFmtId="49" fontId="0" fillId="0" borderId="0" xfId="0" applyNumberFormat="1"/>
    <xf numFmtId="0" fontId="0" fillId="0" borderId="0" xfId="0" applyAlignment="1">
      <alignment wrapText="1"/>
    </xf>
    <xf numFmtId="168" fontId="0" fillId="0" borderId="0" xfId="22" applyNumberFormat="1" applyFont="1" applyAlignment="1">
      <alignment wrapText="1"/>
    </xf>
    <xf numFmtId="180" fontId="0" fillId="0" borderId="0" xfId="0" applyNumberFormat="1"/>
    <xf numFmtId="180" fontId="0" fillId="8" borderId="0" xfId="0" applyNumberFormat="1" applyFill="1"/>
    <xf numFmtId="180" fontId="0" fillId="0" borderId="0" xfId="0" applyNumberFormat="1" applyBorder="1"/>
    <xf numFmtId="180" fontId="0" fillId="8" borderId="0" xfId="0" applyNumberFormat="1" applyFill="1" applyBorder="1"/>
    <xf numFmtId="168" fontId="0" fillId="0" borderId="0" xfId="22" applyNumberFormat="1" applyFont="1" applyBorder="1"/>
    <xf numFmtId="180" fontId="0" fillId="0" borderId="6" xfId="0" applyNumberFormat="1" applyBorder="1"/>
    <xf numFmtId="180" fontId="0" fillId="8" borderId="6" xfId="0" applyNumberFormat="1" applyFill="1" applyBorder="1"/>
    <xf numFmtId="168" fontId="0" fillId="0" borderId="6" xfId="22" applyNumberFormat="1" applyFont="1" applyBorder="1"/>
    <xf numFmtId="180" fontId="0" fillId="0" borderId="8" xfId="0" applyNumberFormat="1" applyBorder="1"/>
    <xf numFmtId="49" fontId="43" fillId="0" borderId="0" xfId="0" applyNumberFormat="1" applyFont="1"/>
    <xf numFmtId="168" fontId="0" fillId="0" borderId="17" xfId="22" applyNumberFormat="1" applyFont="1" applyBorder="1"/>
    <xf numFmtId="37" fontId="12" fillId="0" borderId="0" xfId="0" applyNumberFormat="1" applyFont="1" applyBorder="1"/>
    <xf numFmtId="169" fontId="12" fillId="0" borderId="0" xfId="1" applyNumberFormat="1" applyFont="1" applyBorder="1"/>
    <xf numFmtId="181" fontId="0" fillId="0" borderId="4" xfId="1" applyNumberFormat="1" applyFont="1" applyBorder="1"/>
    <xf numFmtId="0" fontId="0" fillId="0" borderId="4" xfId="0" quotePrefix="1" applyFill="1" applyBorder="1" applyAlignment="1">
      <alignment horizontal="left"/>
    </xf>
    <xf numFmtId="0" fontId="0" fillId="0" borderId="4" xfId="0" applyFill="1" applyBorder="1"/>
    <xf numFmtId="172" fontId="0" fillId="0" borderId="4" xfId="0" applyNumberFormat="1" applyFont="1" applyFill="1" applyBorder="1"/>
    <xf numFmtId="0" fontId="0" fillId="0" borderId="4" xfId="0" applyNumberFormat="1" applyFill="1" applyBorder="1"/>
    <xf numFmtId="172" fontId="0" fillId="0" borderId="4" xfId="1" applyNumberFormat="1" applyFont="1" applyFill="1" applyBorder="1"/>
    <xf numFmtId="0" fontId="16" fillId="0" borderId="4" xfId="0" applyFont="1" applyFill="1" applyBorder="1"/>
    <xf numFmtId="39" fontId="0" fillId="0" borderId="4" xfId="1" applyNumberFormat="1" applyFont="1" applyBorder="1"/>
    <xf numFmtId="39" fontId="0" fillId="0" borderId="5" xfId="0" applyNumberFormat="1" applyFill="1" applyBorder="1"/>
    <xf numFmtId="39" fontId="0" fillId="0" borderId="0" xfId="0" applyNumberFormat="1" applyFill="1"/>
    <xf numFmtId="39" fontId="6" fillId="0" borderId="5" xfId="0" applyNumberFormat="1" applyFont="1" applyFill="1" applyBorder="1"/>
    <xf numFmtId="39" fontId="6" fillId="0" borderId="0" xfId="0" applyNumberFormat="1" applyFont="1" applyFill="1"/>
    <xf numFmtId="39" fontId="0" fillId="0" borderId="0" xfId="0" applyNumberFormat="1"/>
    <xf numFmtId="39" fontId="0" fillId="0" borderId="4" xfId="1" applyNumberFormat="1" applyFont="1" applyFill="1" applyBorder="1"/>
    <xf numFmtId="39" fontId="0" fillId="0" borderId="5" xfId="0" applyNumberFormat="1" applyBorder="1"/>
    <xf numFmtId="39" fontId="6" fillId="0" borderId="4" xfId="0" applyNumberFormat="1" applyFont="1" applyBorder="1" applyAlignment="1">
      <alignment horizontal="center" wrapText="1"/>
    </xf>
    <xf numFmtId="39" fontId="6" fillId="0" borderId="5" xfId="0" applyNumberFormat="1" applyFont="1" applyBorder="1"/>
    <xf numFmtId="39" fontId="0" fillId="0" borderId="6" xfId="0" applyNumberFormat="1" applyBorder="1"/>
    <xf numFmtId="39" fontId="6" fillId="0" borderId="9" xfId="0" applyNumberFormat="1" applyFont="1" applyBorder="1" applyAlignment="1">
      <alignment horizontal="center" wrapText="1"/>
    </xf>
    <xf numFmtId="182" fontId="16" fillId="0" borderId="4" xfId="0" applyNumberFormat="1" applyFont="1" applyFill="1" applyBorder="1"/>
    <xf numFmtId="177" fontId="16" fillId="0" borderId="0" xfId="0" applyNumberFormat="1" applyFont="1" applyBorder="1"/>
    <xf numFmtId="182" fontId="16" fillId="0" borderId="4" xfId="0" applyNumberFormat="1" applyFont="1" applyBorder="1"/>
    <xf numFmtId="177" fontId="16" fillId="0" borderId="6" xfId="0" applyNumberFormat="1" applyFont="1" applyBorder="1"/>
    <xf numFmtId="180" fontId="0" fillId="0" borderId="0" xfId="0" applyNumberFormat="1" applyFill="1"/>
    <xf numFmtId="180" fontId="0" fillId="0" borderId="6" xfId="0" applyNumberFormat="1" applyFill="1" applyBorder="1"/>
    <xf numFmtId="0" fontId="0" fillId="0" borderId="0" xfId="0" applyFill="1" applyAlignment="1">
      <alignment wrapText="1"/>
    </xf>
    <xf numFmtId="39" fontId="0" fillId="0" borderId="10" xfId="0" applyNumberFormat="1" applyFill="1" applyBorder="1"/>
    <xf numFmtId="39" fontId="0" fillId="0" borderId="10" xfId="0" applyNumberFormat="1" applyBorder="1"/>
    <xf numFmtId="39" fontId="0" fillId="0" borderId="11" xfId="0" applyNumberFormat="1" applyBorder="1"/>
    <xf numFmtId="39" fontId="16" fillId="0" borderId="5" xfId="0" applyNumberFormat="1" applyFont="1" applyBorder="1"/>
    <xf numFmtId="39" fontId="0" fillId="0" borderId="11" xfId="0" applyNumberFormat="1" applyFill="1" applyBorder="1"/>
    <xf numFmtId="39" fontId="16" fillId="0" borderId="0" xfId="0" applyNumberFormat="1" applyFont="1"/>
    <xf numFmtId="39" fontId="0" fillId="0" borderId="12" xfId="0" applyNumberFormat="1" applyFill="1" applyBorder="1"/>
    <xf numFmtId="39" fontId="6" fillId="0" borderId="0" xfId="0" applyNumberFormat="1" applyFont="1"/>
    <xf numFmtId="0" fontId="4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16" applyFont="1" applyAlignment="1">
      <alignment horizontal="center"/>
    </xf>
    <xf numFmtId="0" fontId="0" fillId="0" borderId="0" xfId="0" applyAlignment="1">
      <alignment horizontal="center"/>
    </xf>
  </cellXfs>
  <cellStyles count="33">
    <cellStyle name="Comma" xfId="1" builtinId="3"/>
    <cellStyle name="Currency" xfId="2" builtinId="4"/>
    <cellStyle name="Custom - Style1" xfId="3"/>
    <cellStyle name="Custom - Style8" xfId="4"/>
    <cellStyle name="Data   - Style2" xfId="5"/>
    <cellStyle name="Hyperlink" xfId="6" builtinId="8"/>
    <cellStyle name="Labels - Style3" xfId="7"/>
    <cellStyle name="Normal" xfId="0" builtinId="0"/>
    <cellStyle name="Normal - Style1" xfId="8"/>
    <cellStyle name="Normal - Style2" xfId="9"/>
    <cellStyle name="Normal - Style3" xfId="10"/>
    <cellStyle name="Normal - Style4" xfId="11"/>
    <cellStyle name="Normal - Style5" xfId="12"/>
    <cellStyle name="Normal - Style6" xfId="13"/>
    <cellStyle name="Normal - Style7" xfId="14"/>
    <cellStyle name="Normal - Style8" xfId="15"/>
    <cellStyle name="Normal_MO 2008 Rate Case COS Analysis" xfId="16"/>
    <cellStyle name="Output Amounts" xfId="17"/>
    <cellStyle name="Output Column Headings" xfId="18"/>
    <cellStyle name="Output Line Items" xfId="19"/>
    <cellStyle name="Output Report Heading" xfId="20"/>
    <cellStyle name="Output Report Title" xfId="21"/>
    <cellStyle name="Percent" xfId="22" builtinId="5"/>
    <cellStyle name="Reset  - Style4" xfId="23"/>
    <cellStyle name="Reset  - Style7" xfId="24"/>
    <cellStyle name="Table  - Style5" xfId="25"/>
    <cellStyle name="Table  - Style6" xfId="26"/>
    <cellStyle name="Title  - Style1" xfId="27"/>
    <cellStyle name="Title  - Style6" xfId="28"/>
    <cellStyle name="TotCol - Style5" xfId="29"/>
    <cellStyle name="TotCol - Style7" xfId="30"/>
    <cellStyle name="TotRow - Style4" xfId="31"/>
    <cellStyle name="TotRow - Style8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E%2013%20month%20by%20s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ilities.local\Central\Liberty\MO\2010%20ISRS%20Filing\2006%20Rate%20Case\MO%20Rate%20Filing%20-%20Case%20No.%20GR-2006-0387,%2004-07-2006\Updated%20Filing%20-%20Jun06\RMB%201-10%20and%20WPs%20MO%20Rate%20C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chanan\My%20Documents\bbfiles\Colorado\CO%202005-06%20GCA\AppendixA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sh%20Working%20Capital\Cash%20Working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bfiles\Colorado\Study%201202\AppendixA2002-12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ilities.local\Central\Liberty\MO\2010%20ISRS%20Filing\2006%20Rate%20Case\Testimony\Atmos%20Direct%20Testimony\Revenue%20Requirements\Greeley\Kansas\Study%203-31-01\Kansas%20Study%203-31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ilities.local\Central\Liberty\MO\2010%20ISRS%20Filing\2006%20Rate%20Case\Testimony\Atmos%20Direct%20Testimony\Revenue%20Requirements\Mid-States\VIRGINIA\2003%20AIF\2003%2009%20AIF\REVISED%202003%2009%20FILED%20AI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ilities.local\Central\Liberty\MO\2010%20ISRS%20Filing\2006%20Rate%20Case\Testimony\Atmos%20Direct%20Testimony\Revenue%20Requirements\Energas\Amarillo\DefStudyMay01\Exhibits%20May%2001%20Amaril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dwards\AppData\Local\Microsoft\Windows\Temporary%20Internet%20Files\Content.Outlook\ITY61G5A\MO%20Retirements%20Oct12-May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etirements"/>
      <sheetName val="MO ONly"/>
      <sheetName val="Direct MO IL IA Depr rates"/>
    </sheetNames>
    <sheetDataSet>
      <sheetData sheetId="0"/>
      <sheetData sheetId="1">
        <row r="67">
          <cell r="Y67">
            <v>6789.6593794062492</v>
          </cell>
          <cell r="Z67">
            <v>5445.8726272320973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showGridLines="0" tabSelected="1" zoomScaleNormal="100" zoomScaleSheetLayoutView="100" workbookViewId="0">
      <selection sqref="A1:I1"/>
    </sheetView>
  </sheetViews>
  <sheetFormatPr defaultRowHeight="12.75" x14ac:dyDescent="0.2"/>
  <cols>
    <col min="8" max="8" width="17.42578125" customWidth="1"/>
  </cols>
  <sheetData>
    <row r="1" spans="1:9" ht="15.75" x14ac:dyDescent="0.25">
      <c r="A1" s="270" t="s">
        <v>0</v>
      </c>
      <c r="B1" s="270"/>
      <c r="C1" s="270"/>
      <c r="D1" s="270"/>
      <c r="E1" s="270"/>
      <c r="F1" s="270"/>
      <c r="G1" s="270"/>
      <c r="H1" s="270"/>
      <c r="I1" s="270"/>
    </row>
    <row r="4" spans="1:9" x14ac:dyDescent="0.2">
      <c r="A4" t="s">
        <v>1</v>
      </c>
      <c r="E4" s="1" t="s">
        <v>148</v>
      </c>
      <c r="H4" s="1"/>
    </row>
    <row r="6" spans="1:9" x14ac:dyDescent="0.2">
      <c r="A6" t="s">
        <v>3</v>
      </c>
      <c r="E6" s="1" t="s">
        <v>4</v>
      </c>
    </row>
    <row r="8" spans="1:9" x14ac:dyDescent="0.2">
      <c r="A8" t="s">
        <v>5</v>
      </c>
      <c r="E8" s="1" t="s">
        <v>135</v>
      </c>
    </row>
    <row r="10" spans="1:9" x14ac:dyDescent="0.2">
      <c r="A10" t="s">
        <v>6</v>
      </c>
      <c r="E10" s="1" t="s">
        <v>8</v>
      </c>
    </row>
    <row r="12" spans="1:9" x14ac:dyDescent="0.2">
      <c r="A12" t="s">
        <v>7</v>
      </c>
      <c r="E12" s="1" t="s">
        <v>10</v>
      </c>
    </row>
    <row r="14" spans="1:9" x14ac:dyDescent="0.2">
      <c r="A14" t="s">
        <v>9</v>
      </c>
      <c r="E14" s="1" t="s">
        <v>151</v>
      </c>
    </row>
    <row r="16" spans="1:9" x14ac:dyDescent="0.2">
      <c r="A16" t="s">
        <v>11</v>
      </c>
      <c r="E16" s="1" t="s">
        <v>13</v>
      </c>
    </row>
    <row r="18" spans="1:5" x14ac:dyDescent="0.2">
      <c r="A18" t="s">
        <v>12</v>
      </c>
      <c r="E18" s="1" t="s">
        <v>14</v>
      </c>
    </row>
    <row r="20" spans="1:5" x14ac:dyDescent="0.2">
      <c r="A20" t="s">
        <v>137</v>
      </c>
      <c r="E20" s="1" t="s">
        <v>136</v>
      </c>
    </row>
    <row r="22" spans="1:5" x14ac:dyDescent="0.2">
      <c r="A22" t="s">
        <v>138</v>
      </c>
      <c r="E22" t="s">
        <v>139</v>
      </c>
    </row>
    <row r="24" spans="1:5" x14ac:dyDescent="0.2">
      <c r="A24" t="s">
        <v>140</v>
      </c>
      <c r="E24" t="s">
        <v>144</v>
      </c>
    </row>
    <row r="26" spans="1:5" x14ac:dyDescent="0.2">
      <c r="A26" t="s">
        <v>141</v>
      </c>
      <c r="E26" t="s">
        <v>145</v>
      </c>
    </row>
    <row r="28" spans="1:5" x14ac:dyDescent="0.2">
      <c r="A28" t="s">
        <v>143</v>
      </c>
      <c r="E28" t="s">
        <v>146</v>
      </c>
    </row>
    <row r="30" spans="1:5" x14ac:dyDescent="0.2">
      <c r="A30" t="s">
        <v>142</v>
      </c>
      <c r="E30" t="s">
        <v>147</v>
      </c>
    </row>
  </sheetData>
  <mergeCells count="1">
    <mergeCell ref="A1:I1"/>
  </mergeCells>
  <phoneticPr fontId="3" type="noConversion"/>
  <hyperlinks>
    <hyperlink ref="E4" location="'Eligible Replmnts'!A1" display="Eligible Replacements"/>
    <hyperlink ref="E6" location="Retrmnts!A1" display="Retirements"/>
    <hyperlink ref="E8" location="'Rev Req'!A1" display="Revenue Requirments"/>
    <hyperlink ref="E10" location="'Depr Exp'!A1" display="Depreciation Expense"/>
    <hyperlink ref="E12" location="'Deferred Taxes'!A1" display="Deferred Taxes"/>
    <hyperlink ref="E16" location="'Wgt Cost of Cap'!A1" display="Weighted Cost of Capital"/>
    <hyperlink ref="E18" location="'Property Taxes'!A1" display="Property Taxes"/>
    <hyperlink ref="E20" location="'Tax Rate Cal'!STTAX" display="Tax Rate Calculation"/>
    <hyperlink ref="E14" location="'Rate Design-Current Period'!A1" display="Rate Design Current Period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12"/>
  </sheetPr>
  <dimension ref="A1:F20"/>
  <sheetViews>
    <sheetView zoomScaleNormal="80" zoomScaleSheetLayoutView="70" workbookViewId="0">
      <selection sqref="A1:F1"/>
    </sheetView>
  </sheetViews>
  <sheetFormatPr defaultRowHeight="12.75" x14ac:dyDescent="0.2"/>
  <cols>
    <col min="1" max="1" width="9.140625" style="29"/>
    <col min="2" max="2" width="9.28515625" style="29" customWidth="1"/>
    <col min="3" max="3" width="9.140625" style="29"/>
    <col min="4" max="4" width="8.7109375" style="29" bestFit="1" customWidth="1"/>
    <col min="5" max="5" width="18.42578125" style="29" customWidth="1"/>
    <col min="6" max="6" width="17.85546875" style="29" customWidth="1"/>
    <col min="7" max="16384" width="9.140625" style="29"/>
  </cols>
  <sheetData>
    <row r="1" spans="1:6" ht="15.75" x14ac:dyDescent="0.25">
      <c r="A1" s="274" t="s">
        <v>363</v>
      </c>
      <c r="B1" s="274"/>
      <c r="C1" s="274"/>
      <c r="D1" s="274"/>
      <c r="E1" s="274"/>
      <c r="F1" s="274"/>
    </row>
    <row r="2" spans="1:6" ht="15.75" x14ac:dyDescent="0.25">
      <c r="A2" s="274" t="s">
        <v>115</v>
      </c>
      <c r="B2" s="274"/>
      <c r="C2" s="274"/>
      <c r="D2" s="274"/>
      <c r="E2" s="274"/>
      <c r="F2" s="274"/>
    </row>
    <row r="3" spans="1:6" ht="15.75" x14ac:dyDescent="0.25">
      <c r="A3" s="274" t="s">
        <v>89</v>
      </c>
      <c r="B3" s="274"/>
      <c r="C3" s="274"/>
      <c r="D3" s="274"/>
      <c r="E3" s="274"/>
      <c r="F3" s="274"/>
    </row>
    <row r="10" spans="1:6" x14ac:dyDescent="0.2">
      <c r="B10" s="174"/>
      <c r="C10" s="174"/>
      <c r="D10" s="174"/>
      <c r="E10" s="174"/>
      <c r="F10" s="174" t="s">
        <v>155</v>
      </c>
    </row>
    <row r="11" spans="1:6" x14ac:dyDescent="0.2">
      <c r="B11" s="175" t="s">
        <v>114</v>
      </c>
      <c r="C11" s="175"/>
      <c r="D11" s="175" t="s">
        <v>153</v>
      </c>
      <c r="E11" s="175" t="s">
        <v>154</v>
      </c>
      <c r="F11" s="175" t="s">
        <v>156</v>
      </c>
    </row>
    <row r="12" spans="1:6" x14ac:dyDescent="0.2">
      <c r="D12" s="176"/>
      <c r="E12" s="176"/>
      <c r="F12" s="176"/>
    </row>
    <row r="13" spans="1:6" x14ac:dyDescent="0.2">
      <c r="B13" s="29" t="s">
        <v>90</v>
      </c>
      <c r="D13" s="176">
        <v>0.50971422965960433</v>
      </c>
      <c r="E13" s="177">
        <v>0.1</v>
      </c>
      <c r="F13" s="176">
        <f>D13*E13</f>
        <v>5.0971422965960439E-2</v>
      </c>
    </row>
    <row r="14" spans="1:6" x14ac:dyDescent="0.2">
      <c r="B14" s="29" t="s">
        <v>91</v>
      </c>
      <c r="D14" s="178">
        <v>0.47495061810640304</v>
      </c>
      <c r="E14" s="177">
        <v>6.8199999999999997E-2</v>
      </c>
      <c r="F14" s="176">
        <f>D14*E14</f>
        <v>3.2391632154856687E-2</v>
      </c>
    </row>
    <row r="15" spans="1:6" x14ac:dyDescent="0.2">
      <c r="B15" s="29" t="s">
        <v>92</v>
      </c>
      <c r="D15" s="179">
        <v>1.5335152233992755E-2</v>
      </c>
      <c r="E15" s="177">
        <v>2.5999999999999999E-3</v>
      </c>
      <c r="F15" s="180">
        <f>D15*E15</f>
        <v>3.9871395808381159E-5</v>
      </c>
    </row>
    <row r="16" spans="1:6" x14ac:dyDescent="0.2">
      <c r="B16" s="29" t="s">
        <v>88</v>
      </c>
      <c r="D16" s="178">
        <v>1</v>
      </c>
      <c r="E16" s="176"/>
      <c r="F16" s="178">
        <f>SUM(F13:F15)</f>
        <v>8.3402926516625508E-2</v>
      </c>
    </row>
    <row r="17" spans="2:6" x14ac:dyDescent="0.2">
      <c r="D17" s="178"/>
      <c r="E17" s="176"/>
      <c r="F17" s="178"/>
    </row>
    <row r="18" spans="2:6" x14ac:dyDescent="0.2">
      <c r="D18" s="176"/>
      <c r="E18" s="176"/>
      <c r="F18" s="176"/>
    </row>
    <row r="20" spans="2:6" x14ac:dyDescent="0.2">
      <c r="B20" s="47" t="s">
        <v>152</v>
      </c>
    </row>
  </sheetData>
  <mergeCells count="3">
    <mergeCell ref="A3:F3"/>
    <mergeCell ref="A1:F1"/>
    <mergeCell ref="A2:F2"/>
  </mergeCells>
  <phoneticPr fontId="3" type="noConversion"/>
  <pageMargins left="0.75" right="0.75" top="1" bottom="1" header="0.5" footer="0.5"/>
  <pageSetup orientation="portrait" r:id="rId1"/>
  <headerFooter alignWithMargins="0">
    <oddFooter>&amp;RAPPENDIX B
SCHEDULE 7
Weighted Cost of Capital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12"/>
  </sheetPr>
  <dimension ref="A1:K708"/>
  <sheetViews>
    <sheetView showGridLines="0" zoomScale="75" zoomScaleNormal="75" zoomScaleSheetLayoutView="70" workbookViewId="0">
      <selection sqref="A1:G1"/>
    </sheetView>
  </sheetViews>
  <sheetFormatPr defaultRowHeight="12.75" x14ac:dyDescent="0.2"/>
  <cols>
    <col min="1" max="1" width="12.5703125" style="68" customWidth="1"/>
    <col min="2" max="2" width="25.5703125" style="68" customWidth="1"/>
    <col min="3" max="3" width="52.28515625" style="68" customWidth="1"/>
    <col min="4" max="4" width="11.7109375" style="68" customWidth="1"/>
    <col min="5" max="5" width="15.7109375" style="68" bestFit="1" customWidth="1"/>
    <col min="6" max="6" width="18.140625" style="68" customWidth="1"/>
    <col min="7" max="7" width="15.7109375" style="68" customWidth="1"/>
    <col min="8" max="16384" width="9.140625" style="68"/>
  </cols>
  <sheetData>
    <row r="1" spans="1:11" ht="18" customHeight="1" x14ac:dyDescent="0.25">
      <c r="A1" s="270" t="s">
        <v>363</v>
      </c>
      <c r="B1" s="270"/>
      <c r="C1" s="270"/>
      <c r="D1" s="270"/>
      <c r="E1" s="270"/>
      <c r="F1" s="270"/>
      <c r="G1" s="270"/>
    </row>
    <row r="2" spans="1:11" ht="18" customHeight="1" x14ac:dyDescent="0.25">
      <c r="A2" s="270" t="s">
        <v>115</v>
      </c>
      <c r="B2" s="270"/>
      <c r="C2" s="270"/>
      <c r="D2" s="270"/>
      <c r="E2" s="270"/>
      <c r="F2" s="270"/>
      <c r="G2" s="270"/>
    </row>
    <row r="3" spans="1:11" ht="18" customHeight="1" x14ac:dyDescent="0.25">
      <c r="A3" s="270" t="s">
        <v>364</v>
      </c>
      <c r="B3" s="270"/>
      <c r="C3" s="270"/>
      <c r="D3" s="270"/>
      <c r="E3" s="270"/>
      <c r="F3" s="270"/>
      <c r="G3" s="270"/>
    </row>
    <row r="4" spans="1:11" ht="22.5" customHeight="1" x14ac:dyDescent="0.25">
      <c r="A4" s="89"/>
      <c r="B4" s="89"/>
      <c r="C4" s="89"/>
      <c r="D4" s="89"/>
      <c r="E4" s="89"/>
      <c r="F4" s="89"/>
      <c r="G4" s="89"/>
    </row>
    <row r="5" spans="1:11" ht="55.5" customHeight="1" thickBot="1" x14ac:dyDescent="0.25">
      <c r="A5" s="49" t="s">
        <v>93</v>
      </c>
      <c r="B5" s="112" t="s">
        <v>94</v>
      </c>
      <c r="C5" s="105" t="s">
        <v>95</v>
      </c>
      <c r="D5" s="79"/>
      <c r="E5" s="211"/>
      <c r="F5" s="211"/>
      <c r="G5" s="79"/>
    </row>
    <row r="6" spans="1:11" x14ac:dyDescent="0.2">
      <c r="A6" s="50"/>
      <c r="B6" s="193"/>
      <c r="D6" s="79"/>
      <c r="E6" s="212"/>
      <c r="F6" s="213"/>
      <c r="G6" s="79"/>
    </row>
    <row r="7" spans="1:11" x14ac:dyDescent="0.2">
      <c r="A7" s="50"/>
      <c r="B7" s="51"/>
      <c r="D7" s="79"/>
      <c r="E7" s="212"/>
      <c r="F7" s="213"/>
      <c r="G7" s="79"/>
    </row>
    <row r="8" spans="1:11" x14ac:dyDescent="0.2">
      <c r="A8" s="50" t="s">
        <v>118</v>
      </c>
      <c r="B8" s="193">
        <v>5.8577645403926841E-2</v>
      </c>
      <c r="C8" s="77">
        <f>G297+G440+G672</f>
        <v>120631.88870698816</v>
      </c>
      <c r="D8" s="79"/>
      <c r="E8" s="91"/>
      <c r="F8" s="214"/>
      <c r="G8" s="79"/>
    </row>
    <row r="9" spans="1:11" x14ac:dyDescent="0.2">
      <c r="A9" s="50" t="s">
        <v>116</v>
      </c>
      <c r="B9" s="194">
        <v>2.7055355331369324E-2</v>
      </c>
      <c r="C9" s="77">
        <f>G53+G324+G479</f>
        <v>5561.5277911464837</v>
      </c>
      <c r="D9" s="79"/>
      <c r="E9" s="212"/>
      <c r="F9" s="214"/>
      <c r="G9" s="79"/>
    </row>
    <row r="10" spans="1:11" x14ac:dyDescent="0.2">
      <c r="A10" s="50" t="s">
        <v>117</v>
      </c>
      <c r="B10" s="194">
        <v>2.6513400221759475E-2</v>
      </c>
      <c r="C10" s="77">
        <f>G211+G391+G578+G684</f>
        <v>36524.868364649912</v>
      </c>
      <c r="D10" s="79"/>
      <c r="E10" s="212"/>
      <c r="F10" s="214"/>
      <c r="G10" s="79"/>
    </row>
    <row r="11" spans="1:11" x14ac:dyDescent="0.2">
      <c r="A11" s="50"/>
      <c r="B11" s="50"/>
      <c r="C11" s="78">
        <f>SUM(C8:C10)</f>
        <v>162718.28486278455</v>
      </c>
      <c r="D11" s="51"/>
      <c r="E11" s="52"/>
      <c r="F11" s="215"/>
      <c r="G11" s="79"/>
    </row>
    <row r="12" spans="1:11" ht="13.5" thickBot="1" x14ac:dyDescent="0.25">
      <c r="A12" s="76"/>
      <c r="B12" s="76"/>
      <c r="C12" s="76"/>
      <c r="D12" s="51"/>
      <c r="E12" s="52"/>
      <c r="F12" s="215"/>
      <c r="G12" s="216"/>
    </row>
    <row r="14" spans="1:11" x14ac:dyDescent="0.2">
      <c r="A14" s="183" t="s">
        <v>365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</row>
    <row r="15" spans="1:11" x14ac:dyDescent="0.2">
      <c r="A15" s="184" t="s">
        <v>366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</row>
    <row r="18" spans="1:7" x14ac:dyDescent="0.2">
      <c r="A18" s="2" t="s">
        <v>15</v>
      </c>
    </row>
    <row r="19" spans="1:7" x14ac:dyDescent="0.2">
      <c r="A19" s="79"/>
      <c r="B19" s="79"/>
      <c r="C19" s="79"/>
      <c r="D19" s="79"/>
      <c r="E19" s="79"/>
    </row>
    <row r="20" spans="1:7" s="5" customFormat="1" ht="25.5" x14ac:dyDescent="0.2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53" t="s">
        <v>96</v>
      </c>
      <c r="G20" s="53" t="s">
        <v>14</v>
      </c>
    </row>
    <row r="21" spans="1:7" x14ac:dyDescent="0.2">
      <c r="A21" s="154">
        <v>37600</v>
      </c>
      <c r="B21" s="66" t="s">
        <v>379</v>
      </c>
      <c r="C21" s="6" t="s">
        <v>380</v>
      </c>
      <c r="D21" s="56">
        <v>41280</v>
      </c>
      <c r="E21" s="262">
        <v>2989.9699999999993</v>
      </c>
      <c r="F21" s="54">
        <f>$B$9</f>
        <v>2.7055355331369324E-2</v>
      </c>
      <c r="G21" s="80">
        <f>E21*F21</f>
        <v>80.894700780134315</v>
      </c>
    </row>
    <row r="22" spans="1:7" x14ac:dyDescent="0.2">
      <c r="A22" s="154">
        <v>37600</v>
      </c>
      <c r="B22" s="66" t="s">
        <v>378</v>
      </c>
      <c r="C22" s="6" t="s">
        <v>382</v>
      </c>
      <c r="D22" s="56">
        <v>41365</v>
      </c>
      <c r="E22" s="262">
        <v>3141.0999999999995</v>
      </c>
      <c r="F22" s="54">
        <f t="shared" ref="F22:F38" si="0">$B$9</f>
        <v>2.7055355331369324E-2</v>
      </c>
      <c r="G22" s="80">
        <f t="shared" ref="G22:G38" si="1">E22*F22</f>
        <v>84.983576631364173</v>
      </c>
    </row>
    <row r="23" spans="1:7" x14ac:dyDescent="0.2">
      <c r="A23" s="154">
        <v>37600</v>
      </c>
      <c r="B23" s="66" t="s">
        <v>377</v>
      </c>
      <c r="C23" s="6" t="s">
        <v>381</v>
      </c>
      <c r="D23" s="56">
        <v>41368</v>
      </c>
      <c r="E23" s="262">
        <v>2068.37</v>
      </c>
      <c r="F23" s="54">
        <f t="shared" si="0"/>
        <v>2.7055355331369324E-2</v>
      </c>
      <c r="G23" s="80">
        <f t="shared" si="1"/>
        <v>55.960485306744367</v>
      </c>
    </row>
    <row r="24" spans="1:7" x14ac:dyDescent="0.2">
      <c r="A24" s="154">
        <v>37600</v>
      </c>
      <c r="B24" s="66" t="s">
        <v>376</v>
      </c>
      <c r="C24" s="6" t="s">
        <v>380</v>
      </c>
      <c r="D24" s="56">
        <v>41369</v>
      </c>
      <c r="E24" s="262">
        <v>7217.0000000000018</v>
      </c>
      <c r="F24" s="54">
        <f t="shared" si="0"/>
        <v>2.7055355331369324E-2</v>
      </c>
      <c r="G24" s="80">
        <f t="shared" si="1"/>
        <v>195.25849942649245</v>
      </c>
    </row>
    <row r="25" spans="1:7" x14ac:dyDescent="0.2">
      <c r="A25" s="154">
        <v>37600</v>
      </c>
      <c r="B25" s="66" t="s">
        <v>375</v>
      </c>
      <c r="C25" s="6" t="s">
        <v>383</v>
      </c>
      <c r="D25" s="56">
        <v>41370</v>
      </c>
      <c r="E25" s="262">
        <v>1171.9199999999998</v>
      </c>
      <c r="F25" s="54">
        <f t="shared" si="0"/>
        <v>2.7055355331369324E-2</v>
      </c>
      <c r="G25" s="80">
        <f t="shared" si="1"/>
        <v>31.706712019938333</v>
      </c>
    </row>
    <row r="26" spans="1:7" x14ac:dyDescent="0.2">
      <c r="A26" s="154">
        <v>37600</v>
      </c>
      <c r="B26" s="66" t="s">
        <v>374</v>
      </c>
      <c r="C26" s="6" t="s">
        <v>382</v>
      </c>
      <c r="D26" s="56">
        <v>41426</v>
      </c>
      <c r="E26" s="262">
        <v>15767.75</v>
      </c>
      <c r="F26" s="54">
        <f t="shared" si="0"/>
        <v>2.7055355331369324E-2</v>
      </c>
      <c r="G26" s="80">
        <f t="shared" si="1"/>
        <v>426.60207902619868</v>
      </c>
    </row>
    <row r="27" spans="1:7" x14ac:dyDescent="0.2">
      <c r="A27" s="154">
        <v>37600</v>
      </c>
      <c r="B27" s="66" t="s">
        <v>373</v>
      </c>
      <c r="C27" s="6" t="s">
        <v>381</v>
      </c>
      <c r="D27" s="56">
        <v>41429</v>
      </c>
      <c r="E27" s="262">
        <v>108.68</v>
      </c>
      <c r="F27" s="54">
        <f t="shared" si="0"/>
        <v>2.7055355331369324E-2</v>
      </c>
      <c r="G27" s="80">
        <f t="shared" si="1"/>
        <v>2.9403760174132185</v>
      </c>
    </row>
    <row r="28" spans="1:7" x14ac:dyDescent="0.2">
      <c r="A28" s="154">
        <v>37600</v>
      </c>
      <c r="B28" s="66" t="s">
        <v>372</v>
      </c>
      <c r="C28" s="6" t="s">
        <v>380</v>
      </c>
      <c r="D28" s="56">
        <v>41430</v>
      </c>
      <c r="E28" s="262">
        <v>1873.9799999999998</v>
      </c>
      <c r="F28" s="54">
        <f t="shared" si="0"/>
        <v>2.7055355331369324E-2</v>
      </c>
      <c r="G28" s="80">
        <f t="shared" si="1"/>
        <v>50.70119478387948</v>
      </c>
    </row>
    <row r="29" spans="1:7" x14ac:dyDescent="0.2">
      <c r="A29" s="154">
        <v>37600</v>
      </c>
      <c r="B29" s="66" t="s">
        <v>371</v>
      </c>
      <c r="C29" s="6" t="s">
        <v>382</v>
      </c>
      <c r="D29" s="56">
        <v>41276</v>
      </c>
      <c r="E29" s="262">
        <v>813.73</v>
      </c>
      <c r="F29" s="54">
        <f t="shared" si="0"/>
        <v>2.7055355331369324E-2</v>
      </c>
      <c r="G29" s="80">
        <f t="shared" si="1"/>
        <v>22.015754293795162</v>
      </c>
    </row>
    <row r="30" spans="1:7" x14ac:dyDescent="0.2">
      <c r="A30" s="154">
        <v>37600</v>
      </c>
      <c r="B30" s="66" t="s">
        <v>370</v>
      </c>
      <c r="C30" s="6" t="s">
        <v>381</v>
      </c>
      <c r="D30" s="56">
        <v>41279</v>
      </c>
      <c r="E30" s="262">
        <v>1453.59</v>
      </c>
      <c r="F30" s="54">
        <f t="shared" si="0"/>
        <v>2.7055355331369324E-2</v>
      </c>
      <c r="G30" s="80">
        <f t="shared" si="1"/>
        <v>39.327393956125135</v>
      </c>
    </row>
    <row r="31" spans="1:7" x14ac:dyDescent="0.2">
      <c r="A31" s="154" t="s">
        <v>585</v>
      </c>
      <c r="B31" s="66" t="s">
        <v>180</v>
      </c>
      <c r="C31" s="6" t="s">
        <v>360</v>
      </c>
      <c r="D31" s="56">
        <v>41122</v>
      </c>
      <c r="E31" s="262">
        <v>1196.68</v>
      </c>
      <c r="F31" s="54">
        <f t="shared" si="0"/>
        <v>2.7055355331369324E-2</v>
      </c>
      <c r="G31" s="80">
        <f t="shared" si="1"/>
        <v>32.376602617943043</v>
      </c>
    </row>
    <row r="32" spans="1:7" x14ac:dyDescent="0.2">
      <c r="A32" s="154" t="s">
        <v>585</v>
      </c>
      <c r="B32" s="66" t="s">
        <v>180</v>
      </c>
      <c r="C32" s="6" t="s">
        <v>360</v>
      </c>
      <c r="D32" s="56">
        <v>41153</v>
      </c>
      <c r="E32" s="262">
        <v>1601.51</v>
      </c>
      <c r="F32" s="54">
        <f t="shared" si="0"/>
        <v>2.7055355331369324E-2</v>
      </c>
      <c r="G32" s="80">
        <f t="shared" si="1"/>
        <v>43.329422116741284</v>
      </c>
    </row>
    <row r="33" spans="1:8" x14ac:dyDescent="0.2">
      <c r="A33" s="154" t="s">
        <v>585</v>
      </c>
      <c r="B33" s="66" t="s">
        <v>180</v>
      </c>
      <c r="C33" s="6" t="s">
        <v>360</v>
      </c>
      <c r="D33" s="56">
        <v>41183</v>
      </c>
      <c r="E33" s="262">
        <v>19.510000000000002</v>
      </c>
      <c r="F33" s="54">
        <f t="shared" si="0"/>
        <v>2.7055355331369324E-2</v>
      </c>
      <c r="G33" s="80">
        <f t="shared" si="1"/>
        <v>0.52784998251501558</v>
      </c>
    </row>
    <row r="34" spans="1:8" x14ac:dyDescent="0.2">
      <c r="A34" s="154" t="s">
        <v>586</v>
      </c>
      <c r="B34" s="66" t="s">
        <v>563</v>
      </c>
      <c r="C34" s="6" t="s">
        <v>554</v>
      </c>
      <c r="D34" s="56">
        <v>41122</v>
      </c>
      <c r="E34" s="262">
        <v>6.83</v>
      </c>
      <c r="F34" s="54">
        <f t="shared" si="0"/>
        <v>2.7055355331369324E-2</v>
      </c>
      <c r="G34" s="80">
        <f t="shared" si="1"/>
        <v>0.1847880769132525</v>
      </c>
    </row>
    <row r="35" spans="1:8" x14ac:dyDescent="0.2">
      <c r="A35" s="154" t="s">
        <v>587</v>
      </c>
      <c r="B35" s="66" t="s">
        <v>563</v>
      </c>
      <c r="C35" s="6" t="s">
        <v>554</v>
      </c>
      <c r="D35" s="56">
        <v>41122</v>
      </c>
      <c r="E35" s="262">
        <v>27.75</v>
      </c>
      <c r="F35" s="54">
        <f t="shared" si="0"/>
        <v>2.7055355331369324E-2</v>
      </c>
      <c r="G35" s="80">
        <f t="shared" si="1"/>
        <v>0.7507861104454987</v>
      </c>
    </row>
    <row r="36" spans="1:8" x14ac:dyDescent="0.2">
      <c r="A36" s="154" t="s">
        <v>587</v>
      </c>
      <c r="B36" s="66" t="s">
        <v>563</v>
      </c>
      <c r="C36" s="6" t="s">
        <v>554</v>
      </c>
      <c r="D36" s="56">
        <v>41153</v>
      </c>
      <c r="E36" s="262">
        <v>1833.75</v>
      </c>
      <c r="F36" s="54">
        <f t="shared" si="0"/>
        <v>2.7055355331369324E-2</v>
      </c>
      <c r="G36" s="80">
        <f t="shared" si="1"/>
        <v>49.612757838898496</v>
      </c>
    </row>
    <row r="37" spans="1:8" x14ac:dyDescent="0.2">
      <c r="A37" s="154" t="s">
        <v>587</v>
      </c>
      <c r="B37" s="66" t="s">
        <v>563</v>
      </c>
      <c r="C37" s="6" t="s">
        <v>554</v>
      </c>
      <c r="D37" s="56">
        <v>41183</v>
      </c>
      <c r="E37" s="262">
        <v>2173.4</v>
      </c>
      <c r="F37" s="54">
        <f t="shared" si="0"/>
        <v>2.7055355331369324E-2</v>
      </c>
      <c r="G37" s="80">
        <f t="shared" si="1"/>
        <v>58.802109277198092</v>
      </c>
    </row>
    <row r="38" spans="1:8" x14ac:dyDescent="0.2">
      <c r="A38" s="154" t="s">
        <v>585</v>
      </c>
      <c r="B38" s="66" t="s">
        <v>182</v>
      </c>
      <c r="C38" s="6" t="s">
        <v>347</v>
      </c>
      <c r="D38" s="56">
        <v>41061</v>
      </c>
      <c r="E38" s="262">
        <v>-583.11</v>
      </c>
      <c r="F38" s="54">
        <f t="shared" si="0"/>
        <v>2.7055355331369324E-2</v>
      </c>
      <c r="G38" s="80">
        <f t="shared" si="1"/>
        <v>-15.776248247274767</v>
      </c>
    </row>
    <row r="39" spans="1:8" x14ac:dyDescent="0.2">
      <c r="A39" s="154" t="s">
        <v>585</v>
      </c>
      <c r="B39" s="153" t="s">
        <v>178</v>
      </c>
      <c r="C39" s="6" t="s">
        <v>353</v>
      </c>
      <c r="D39" s="56">
        <v>41061</v>
      </c>
      <c r="E39" s="263">
        <v>-1.21</v>
      </c>
      <c r="F39" s="54">
        <f t="shared" ref="F39:F51" si="2">$B$9</f>
        <v>2.7055355331369324E-2</v>
      </c>
      <c r="G39" s="80">
        <f>E39*F39</f>
        <v>-3.2736979950956882E-2</v>
      </c>
    </row>
    <row r="40" spans="1:8" x14ac:dyDescent="0.2">
      <c r="A40" s="154" t="s">
        <v>585</v>
      </c>
      <c r="B40" s="66" t="s">
        <v>179</v>
      </c>
      <c r="C40" s="6" t="s">
        <v>355</v>
      </c>
      <c r="D40" s="56">
        <v>41061</v>
      </c>
      <c r="E40" s="263">
        <v>0.48</v>
      </c>
      <c r="F40" s="54">
        <f t="shared" si="2"/>
        <v>2.7055355331369324E-2</v>
      </c>
      <c r="G40" s="80">
        <f>E40*F40</f>
        <v>1.2986570559057276E-2</v>
      </c>
    </row>
    <row r="41" spans="1:8" x14ac:dyDescent="0.2">
      <c r="A41" s="154" t="s">
        <v>585</v>
      </c>
      <c r="B41" s="153" t="s">
        <v>180</v>
      </c>
      <c r="C41" s="6" t="s">
        <v>360</v>
      </c>
      <c r="D41" s="56">
        <v>41061</v>
      </c>
      <c r="E41" s="263">
        <v>0.96</v>
      </c>
      <c r="F41" s="54">
        <f t="shared" si="2"/>
        <v>2.7055355331369324E-2</v>
      </c>
      <c r="G41" s="80">
        <f>E41*F41</f>
        <v>2.5973141118114551E-2</v>
      </c>
    </row>
    <row r="42" spans="1:8" x14ac:dyDescent="0.2">
      <c r="A42" s="154" t="s">
        <v>585</v>
      </c>
      <c r="B42" s="153" t="s">
        <v>180</v>
      </c>
      <c r="C42" s="6" t="s">
        <v>360</v>
      </c>
      <c r="D42" s="56">
        <v>41091</v>
      </c>
      <c r="E42" s="263">
        <v>2718.4</v>
      </c>
      <c r="F42" s="54">
        <f t="shared" si="2"/>
        <v>2.7055355331369324E-2</v>
      </c>
      <c r="G42" s="80">
        <f>E42*F42</f>
        <v>73.547277932794373</v>
      </c>
      <c r="H42" s="81"/>
    </row>
    <row r="43" spans="1:8" x14ac:dyDescent="0.2">
      <c r="A43" s="154" t="s">
        <v>586</v>
      </c>
      <c r="B43" s="153" t="s">
        <v>182</v>
      </c>
      <c r="C43" s="6" t="s">
        <v>347</v>
      </c>
      <c r="D43" s="56">
        <v>41061</v>
      </c>
      <c r="E43" s="263">
        <v>-2666.59</v>
      </c>
      <c r="F43" s="54">
        <f t="shared" si="2"/>
        <v>2.7055355331369324E-2</v>
      </c>
      <c r="G43" s="80">
        <f t="shared" ref="G43:G51" si="3">E43*F43</f>
        <v>-72.145539973076126</v>
      </c>
    </row>
    <row r="44" spans="1:8" x14ac:dyDescent="0.2">
      <c r="A44" s="154" t="s">
        <v>586</v>
      </c>
      <c r="B44" s="153" t="s">
        <v>181</v>
      </c>
      <c r="C44" s="6" t="s">
        <v>349</v>
      </c>
      <c r="D44" s="56">
        <v>41061</v>
      </c>
      <c r="E44" s="263">
        <v>471.76</v>
      </c>
      <c r="F44" s="54">
        <f t="shared" si="2"/>
        <v>2.7055355331369324E-2</v>
      </c>
      <c r="G44" s="80">
        <f t="shared" si="3"/>
        <v>12.763634431126793</v>
      </c>
    </row>
    <row r="45" spans="1:8" x14ac:dyDescent="0.2">
      <c r="A45" s="154" t="s">
        <v>586</v>
      </c>
      <c r="B45" s="66" t="s">
        <v>178</v>
      </c>
      <c r="C45" s="6" t="s">
        <v>353</v>
      </c>
      <c r="D45" s="56">
        <v>41061</v>
      </c>
      <c r="E45" s="263">
        <v>-0.6</v>
      </c>
      <c r="F45" s="54">
        <f t="shared" si="2"/>
        <v>2.7055355331369324E-2</v>
      </c>
      <c r="G45" s="80">
        <f t="shared" si="3"/>
        <v>-1.6233213198821594E-2</v>
      </c>
    </row>
    <row r="46" spans="1:8" x14ac:dyDescent="0.2">
      <c r="A46" s="154" t="s">
        <v>586</v>
      </c>
      <c r="B46" s="153" t="s">
        <v>563</v>
      </c>
      <c r="C46" s="6" t="s">
        <v>554</v>
      </c>
      <c r="D46" s="56">
        <v>41061</v>
      </c>
      <c r="E46" s="263">
        <v>499.29999999999995</v>
      </c>
      <c r="F46" s="54">
        <f t="shared" si="2"/>
        <v>2.7055355331369324E-2</v>
      </c>
      <c r="G46" s="80">
        <f t="shared" si="3"/>
        <v>13.508738916952701</v>
      </c>
    </row>
    <row r="47" spans="1:8" x14ac:dyDescent="0.2">
      <c r="A47" s="154" t="s">
        <v>587</v>
      </c>
      <c r="B47" s="153" t="s">
        <v>182</v>
      </c>
      <c r="C47" s="6" t="s">
        <v>347</v>
      </c>
      <c r="D47" s="56">
        <v>41061</v>
      </c>
      <c r="E47" s="263">
        <v>1435.3600000000001</v>
      </c>
      <c r="F47" s="54">
        <f t="shared" si="2"/>
        <v>2.7055355331369324E-2</v>
      </c>
      <c r="G47" s="80">
        <f t="shared" si="3"/>
        <v>38.834174828434278</v>
      </c>
    </row>
    <row r="48" spans="1:8" x14ac:dyDescent="0.2">
      <c r="A48" s="154" t="s">
        <v>587</v>
      </c>
      <c r="B48" s="66" t="s">
        <v>181</v>
      </c>
      <c r="C48" s="6" t="s">
        <v>349</v>
      </c>
      <c r="D48" s="56">
        <v>41061</v>
      </c>
      <c r="E48" s="263">
        <v>235.87</v>
      </c>
      <c r="F48" s="54">
        <f t="shared" si="2"/>
        <v>2.7055355331369324E-2</v>
      </c>
      <c r="G48" s="80">
        <f t="shared" si="3"/>
        <v>6.3815466620100825</v>
      </c>
    </row>
    <row r="49" spans="1:8" x14ac:dyDescent="0.2">
      <c r="A49" s="154" t="s">
        <v>587</v>
      </c>
      <c r="B49" s="153" t="s">
        <v>178</v>
      </c>
      <c r="C49" s="6" t="s">
        <v>353</v>
      </c>
      <c r="D49" s="56">
        <v>41061</v>
      </c>
      <c r="E49" s="263">
        <v>-1.2</v>
      </c>
      <c r="F49" s="54">
        <f t="shared" si="2"/>
        <v>2.7055355331369324E-2</v>
      </c>
      <c r="G49" s="80">
        <f t="shared" si="3"/>
        <v>-3.2466426397643189E-2</v>
      </c>
    </row>
    <row r="50" spans="1:8" x14ac:dyDescent="0.2">
      <c r="A50" s="154" t="s">
        <v>587</v>
      </c>
      <c r="B50" s="153" t="s">
        <v>563</v>
      </c>
      <c r="C50" s="6" t="s">
        <v>554</v>
      </c>
      <c r="D50" s="56">
        <v>41061</v>
      </c>
      <c r="E50" s="263">
        <v>269.25</v>
      </c>
      <c r="F50" s="54">
        <f t="shared" si="2"/>
        <v>2.7055355331369324E-2</v>
      </c>
      <c r="G50" s="80">
        <f t="shared" si="3"/>
        <v>7.2846544229711903</v>
      </c>
      <c r="H50" s="81"/>
    </row>
    <row r="51" spans="1:8" x14ac:dyDescent="0.2">
      <c r="A51" s="154" t="s">
        <v>587</v>
      </c>
      <c r="B51" s="155" t="s">
        <v>563</v>
      </c>
      <c r="C51" s="6" t="s">
        <v>554</v>
      </c>
      <c r="D51" s="56">
        <v>41091</v>
      </c>
      <c r="E51" s="264">
        <v>1758.81</v>
      </c>
      <c r="F51" s="54">
        <f t="shared" si="2"/>
        <v>2.7055355331369324E-2</v>
      </c>
      <c r="G51" s="80">
        <f t="shared" si="3"/>
        <v>47.585229510365679</v>
      </c>
      <c r="H51" s="81"/>
    </row>
    <row r="52" spans="1:8" s="79" customFormat="1" x14ac:dyDescent="0.2">
      <c r="D52" s="82"/>
      <c r="E52" s="83"/>
    </row>
    <row r="53" spans="1:8" s="79" customFormat="1" ht="13.5" thickBot="1" x14ac:dyDescent="0.25">
      <c r="C53" s="12" t="s">
        <v>25</v>
      </c>
      <c r="D53" s="82"/>
      <c r="E53" s="265">
        <f>SUM(E21:E51)</f>
        <v>47603.000000000022</v>
      </c>
      <c r="G53" s="84">
        <f>SUM(G21:G51)</f>
        <v>1287.9160798391738</v>
      </c>
    </row>
    <row r="54" spans="1:8" s="79" customFormat="1" ht="13.5" thickTop="1" x14ac:dyDescent="0.2">
      <c r="D54" s="82"/>
      <c r="E54" s="83"/>
    </row>
    <row r="55" spans="1:8" s="79" customFormat="1" x14ac:dyDescent="0.2">
      <c r="D55" s="82"/>
      <c r="E55" s="83"/>
    </row>
    <row r="56" spans="1:8" s="79" customFormat="1" x14ac:dyDescent="0.2">
      <c r="A56" s="2" t="s">
        <v>26</v>
      </c>
      <c r="D56" s="82"/>
      <c r="E56" s="83"/>
    </row>
    <row r="57" spans="1:8" s="79" customFormat="1" x14ac:dyDescent="0.2">
      <c r="D57" s="82"/>
      <c r="E57" s="83"/>
    </row>
    <row r="58" spans="1:8" x14ac:dyDescent="0.2">
      <c r="A58" s="154">
        <v>37600</v>
      </c>
      <c r="B58" s="66" t="s">
        <v>398</v>
      </c>
      <c r="C58" s="6" t="s">
        <v>382</v>
      </c>
      <c r="D58" s="56">
        <v>41296</v>
      </c>
      <c r="E58" s="262">
        <v>19386.349999999999</v>
      </c>
      <c r="F58" s="54">
        <f>$B$10</f>
        <v>2.6513400221759475E-2</v>
      </c>
      <c r="G58" s="80">
        <f t="shared" ref="G58:G191" si="4">E58*F58</f>
        <v>513.99805638910675</v>
      </c>
    </row>
    <row r="59" spans="1:8" x14ac:dyDescent="0.2">
      <c r="A59" s="154">
        <v>37600</v>
      </c>
      <c r="B59" s="66" t="s">
        <v>399</v>
      </c>
      <c r="C59" s="6" t="s">
        <v>381</v>
      </c>
      <c r="D59" s="56">
        <v>41299</v>
      </c>
      <c r="E59" s="262">
        <v>10053.07999999998</v>
      </c>
      <c r="F59" s="54">
        <f t="shared" ref="F59:F122" si="5">$B$10</f>
        <v>2.6513400221759475E-2</v>
      </c>
      <c r="G59" s="80">
        <f t="shared" ref="G59:G122" si="6">E59*F59</f>
        <v>266.54133350136522</v>
      </c>
    </row>
    <row r="60" spans="1:8" x14ac:dyDescent="0.2">
      <c r="A60" s="154">
        <v>37600</v>
      </c>
      <c r="B60" s="66" t="s">
        <v>400</v>
      </c>
      <c r="C60" s="6" t="s">
        <v>380</v>
      </c>
      <c r="D60" s="56">
        <v>41300</v>
      </c>
      <c r="E60" s="262">
        <v>121.9</v>
      </c>
      <c r="F60" s="54">
        <f t="shared" si="5"/>
        <v>2.6513400221759475E-2</v>
      </c>
      <c r="G60" s="80">
        <f t="shared" si="6"/>
        <v>3.2319834870324802</v>
      </c>
    </row>
    <row r="61" spans="1:8" x14ac:dyDescent="0.2">
      <c r="A61" s="154">
        <v>37600</v>
      </c>
      <c r="B61" s="66" t="s">
        <v>401</v>
      </c>
      <c r="C61" s="6" t="s">
        <v>383</v>
      </c>
      <c r="D61" s="56">
        <v>41301</v>
      </c>
      <c r="E61" s="262">
        <v>135.75</v>
      </c>
      <c r="F61" s="54">
        <f t="shared" si="5"/>
        <v>2.6513400221759475E-2</v>
      </c>
      <c r="G61" s="80">
        <f t="shared" si="6"/>
        <v>3.5991940801038487</v>
      </c>
    </row>
    <row r="62" spans="1:8" x14ac:dyDescent="0.2">
      <c r="A62" s="154">
        <v>37600</v>
      </c>
      <c r="B62" s="66" t="s">
        <v>402</v>
      </c>
      <c r="C62" s="6" t="s">
        <v>382</v>
      </c>
      <c r="D62" s="56">
        <v>41367</v>
      </c>
      <c r="E62" s="262">
        <v>1308.5099999999998</v>
      </c>
      <c r="F62" s="54">
        <f t="shared" si="5"/>
        <v>2.6513400221759475E-2</v>
      </c>
      <c r="G62" s="80">
        <f t="shared" si="6"/>
        <v>34.693049324174481</v>
      </c>
    </row>
    <row r="63" spans="1:8" x14ac:dyDescent="0.2">
      <c r="A63" s="154">
        <v>37600</v>
      </c>
      <c r="B63" s="66" t="s">
        <v>403</v>
      </c>
      <c r="C63" s="6" t="s">
        <v>381</v>
      </c>
      <c r="D63" s="56">
        <v>41367</v>
      </c>
      <c r="E63" s="262">
        <v>4056.8199999999997</v>
      </c>
      <c r="F63" s="54">
        <f t="shared" si="5"/>
        <v>2.6513400221759475E-2</v>
      </c>
      <c r="G63" s="80">
        <f t="shared" si="6"/>
        <v>107.56009228763827</v>
      </c>
    </row>
    <row r="64" spans="1:8" x14ac:dyDescent="0.2">
      <c r="A64" s="154">
        <v>37600</v>
      </c>
      <c r="B64" s="66" t="s">
        <v>404</v>
      </c>
      <c r="C64" s="6" t="s">
        <v>380</v>
      </c>
      <c r="D64" s="56">
        <v>41367</v>
      </c>
      <c r="E64" s="262">
        <v>692.4</v>
      </c>
      <c r="F64" s="54">
        <f t="shared" si="5"/>
        <v>2.6513400221759475E-2</v>
      </c>
      <c r="G64" s="80">
        <f t="shared" si="6"/>
        <v>18.357878313546259</v>
      </c>
    </row>
    <row r="65" spans="1:7" x14ac:dyDescent="0.2">
      <c r="A65" s="154">
        <v>37600</v>
      </c>
      <c r="B65" s="66" t="s">
        <v>405</v>
      </c>
      <c r="C65" s="6" t="s">
        <v>383</v>
      </c>
      <c r="D65" s="56">
        <v>41367</v>
      </c>
      <c r="E65" s="262">
        <v>2758.6499999999996</v>
      </c>
      <c r="F65" s="54">
        <f t="shared" si="5"/>
        <v>2.6513400221759475E-2</v>
      </c>
      <c r="G65" s="80">
        <f t="shared" si="6"/>
        <v>73.141191521756767</v>
      </c>
    </row>
    <row r="66" spans="1:7" x14ac:dyDescent="0.2">
      <c r="A66" s="154">
        <v>37600</v>
      </c>
      <c r="B66" s="66" t="s">
        <v>406</v>
      </c>
      <c r="C66" s="6" t="s">
        <v>382</v>
      </c>
      <c r="D66" s="56">
        <v>41428</v>
      </c>
      <c r="E66" s="262">
        <v>10476.16</v>
      </c>
      <c r="F66" s="54">
        <f t="shared" si="5"/>
        <v>2.6513400221759475E-2</v>
      </c>
      <c r="G66" s="80">
        <f t="shared" si="6"/>
        <v>277.75862286718774</v>
      </c>
    </row>
    <row r="67" spans="1:7" x14ac:dyDescent="0.2">
      <c r="A67" s="154">
        <v>37600</v>
      </c>
      <c r="B67" s="66" t="s">
        <v>407</v>
      </c>
      <c r="C67" s="6" t="s">
        <v>381</v>
      </c>
      <c r="D67" s="56">
        <v>41428</v>
      </c>
      <c r="E67" s="262">
        <v>3598.92</v>
      </c>
      <c r="F67" s="54">
        <f t="shared" si="5"/>
        <v>2.6513400221759475E-2</v>
      </c>
      <c r="G67" s="80">
        <f t="shared" si="6"/>
        <v>95.419606326094609</v>
      </c>
    </row>
    <row r="68" spans="1:7" x14ac:dyDescent="0.2">
      <c r="A68" s="154">
        <v>37600</v>
      </c>
      <c r="B68" s="66" t="s">
        <v>408</v>
      </c>
      <c r="C68" s="6" t="s">
        <v>380</v>
      </c>
      <c r="D68" s="56">
        <v>41428</v>
      </c>
      <c r="E68" s="262">
        <v>3842.93</v>
      </c>
      <c r="F68" s="54">
        <f t="shared" si="5"/>
        <v>2.6513400221759475E-2</v>
      </c>
      <c r="G68" s="80">
        <f t="shared" si="6"/>
        <v>101.88914111420614</v>
      </c>
    </row>
    <row r="69" spans="1:7" x14ac:dyDescent="0.2">
      <c r="A69" s="154">
        <v>37600</v>
      </c>
      <c r="B69" s="66" t="s">
        <v>409</v>
      </c>
      <c r="C69" s="6" t="s">
        <v>383</v>
      </c>
      <c r="D69" s="56">
        <v>41428</v>
      </c>
      <c r="E69" s="262">
        <v>1277.42</v>
      </c>
      <c r="F69" s="54">
        <f t="shared" si="5"/>
        <v>2.6513400221759475E-2</v>
      </c>
      <c r="G69" s="80">
        <f t="shared" si="6"/>
        <v>33.868747711279987</v>
      </c>
    </row>
    <row r="70" spans="1:7" x14ac:dyDescent="0.2">
      <c r="A70" s="154">
        <v>37600</v>
      </c>
      <c r="B70" s="66" t="s">
        <v>410</v>
      </c>
      <c r="C70" s="6" t="s">
        <v>382</v>
      </c>
      <c r="D70" s="56">
        <v>41297</v>
      </c>
      <c r="E70" s="262">
        <v>2311.6499999999996</v>
      </c>
      <c r="F70" s="54">
        <f t="shared" si="5"/>
        <v>2.6513400221759475E-2</v>
      </c>
      <c r="G70" s="80">
        <f t="shared" si="6"/>
        <v>61.289701622630282</v>
      </c>
    </row>
    <row r="71" spans="1:7" x14ac:dyDescent="0.2">
      <c r="A71" s="154">
        <v>37600</v>
      </c>
      <c r="B71" s="66" t="s">
        <v>411</v>
      </c>
      <c r="C71" s="6" t="s">
        <v>381</v>
      </c>
      <c r="D71" s="56">
        <v>41297</v>
      </c>
      <c r="E71" s="262">
        <v>2271.75</v>
      </c>
      <c r="F71" s="54">
        <f t="shared" si="5"/>
        <v>2.6513400221759475E-2</v>
      </c>
      <c r="G71" s="80">
        <f t="shared" si="6"/>
        <v>60.231816953782086</v>
      </c>
    </row>
    <row r="72" spans="1:7" x14ac:dyDescent="0.2">
      <c r="A72" s="154">
        <v>37600</v>
      </c>
      <c r="B72" s="66" t="s">
        <v>412</v>
      </c>
      <c r="C72" s="6" t="s">
        <v>380</v>
      </c>
      <c r="D72" s="56">
        <v>41297</v>
      </c>
      <c r="E72" s="262">
        <v>4737.63</v>
      </c>
      <c r="F72" s="54">
        <f t="shared" si="5"/>
        <v>2.6513400221759475E-2</v>
      </c>
      <c r="G72" s="80">
        <f t="shared" si="6"/>
        <v>125.61068029261435</v>
      </c>
    </row>
    <row r="73" spans="1:7" x14ac:dyDescent="0.2">
      <c r="A73" s="154">
        <v>37600</v>
      </c>
      <c r="B73" s="66" t="s">
        <v>413</v>
      </c>
      <c r="C73" s="6" t="s">
        <v>383</v>
      </c>
      <c r="D73" s="56">
        <v>41297</v>
      </c>
      <c r="E73" s="262">
        <v>1720.6699999999998</v>
      </c>
      <c r="F73" s="54">
        <f t="shared" si="5"/>
        <v>2.6513400221759475E-2</v>
      </c>
      <c r="G73" s="80">
        <f t="shared" si="6"/>
        <v>45.62081235957487</v>
      </c>
    </row>
    <row r="74" spans="1:7" x14ac:dyDescent="0.2">
      <c r="A74" s="154">
        <v>37600</v>
      </c>
      <c r="B74" s="66" t="s">
        <v>414</v>
      </c>
      <c r="C74" s="6" t="s">
        <v>382</v>
      </c>
      <c r="D74" s="56">
        <v>41367</v>
      </c>
      <c r="E74" s="262">
        <v>8564.58</v>
      </c>
      <c r="F74" s="54">
        <f t="shared" si="5"/>
        <v>2.6513400221759475E-2</v>
      </c>
      <c r="G74" s="80">
        <f t="shared" si="6"/>
        <v>227.07613727127676</v>
      </c>
    </row>
    <row r="75" spans="1:7" x14ac:dyDescent="0.2">
      <c r="A75" s="154">
        <v>37600</v>
      </c>
      <c r="B75" s="66" t="s">
        <v>415</v>
      </c>
      <c r="C75" s="6" t="s">
        <v>381</v>
      </c>
      <c r="D75" s="56">
        <v>41367</v>
      </c>
      <c r="E75" s="262">
        <v>1476.38</v>
      </c>
      <c r="F75" s="54">
        <f t="shared" si="5"/>
        <v>2.6513400221759475E-2</v>
      </c>
      <c r="G75" s="80">
        <f t="shared" si="6"/>
        <v>39.143853819401258</v>
      </c>
    </row>
    <row r="76" spans="1:7" x14ac:dyDescent="0.2">
      <c r="A76" s="154">
        <v>37600</v>
      </c>
      <c r="B76" s="66" t="s">
        <v>416</v>
      </c>
      <c r="C76" s="6" t="s">
        <v>380</v>
      </c>
      <c r="D76" s="56">
        <v>41367</v>
      </c>
      <c r="E76" s="262">
        <v>1934.6100000000001</v>
      </c>
      <c r="F76" s="54">
        <f t="shared" si="5"/>
        <v>2.6513400221759475E-2</v>
      </c>
      <c r="G76" s="80">
        <f t="shared" si="6"/>
        <v>51.293089203018098</v>
      </c>
    </row>
    <row r="77" spans="1:7" x14ac:dyDescent="0.2">
      <c r="A77" s="154">
        <v>37600</v>
      </c>
      <c r="B77" s="66" t="s">
        <v>417</v>
      </c>
      <c r="C77" s="6" t="s">
        <v>383</v>
      </c>
      <c r="D77" s="56">
        <v>41367</v>
      </c>
      <c r="E77" s="262">
        <v>2949.68</v>
      </c>
      <c r="F77" s="54">
        <f t="shared" si="5"/>
        <v>2.6513400221759475E-2</v>
      </c>
      <c r="G77" s="80">
        <f t="shared" si="6"/>
        <v>78.20604636611948</v>
      </c>
    </row>
    <row r="78" spans="1:7" x14ac:dyDescent="0.2">
      <c r="A78" s="154">
        <v>37600</v>
      </c>
      <c r="B78" s="66" t="s">
        <v>418</v>
      </c>
      <c r="C78" s="6" t="s">
        <v>382</v>
      </c>
      <c r="D78" s="56">
        <v>41428</v>
      </c>
      <c r="E78" s="262">
        <v>6944.16</v>
      </c>
      <c r="F78" s="54">
        <f t="shared" si="5"/>
        <v>2.6513400221759475E-2</v>
      </c>
      <c r="G78" s="80">
        <f t="shared" si="6"/>
        <v>184.11329328393327</v>
      </c>
    </row>
    <row r="79" spans="1:7" x14ac:dyDescent="0.2">
      <c r="A79" s="154">
        <v>37600</v>
      </c>
      <c r="B79" s="66" t="s">
        <v>419</v>
      </c>
      <c r="C79" s="6" t="s">
        <v>380</v>
      </c>
      <c r="D79" s="56">
        <v>41428</v>
      </c>
      <c r="E79" s="262">
        <v>26495.879999999997</v>
      </c>
      <c r="F79" s="54">
        <f t="shared" si="5"/>
        <v>2.6513400221759475E-2</v>
      </c>
      <c r="G79" s="80">
        <f t="shared" si="6"/>
        <v>702.49587066771232</v>
      </c>
    </row>
    <row r="80" spans="1:7" x14ac:dyDescent="0.2">
      <c r="A80" s="154">
        <v>37600</v>
      </c>
      <c r="B80" s="66" t="s">
        <v>420</v>
      </c>
      <c r="C80" s="6" t="s">
        <v>383</v>
      </c>
      <c r="D80" s="56">
        <v>41428</v>
      </c>
      <c r="E80" s="262">
        <v>499.4</v>
      </c>
      <c r="F80" s="54">
        <f t="shared" si="5"/>
        <v>2.6513400221759475E-2</v>
      </c>
      <c r="G80" s="80">
        <f t="shared" si="6"/>
        <v>13.24079207074668</v>
      </c>
    </row>
    <row r="81" spans="1:7" x14ac:dyDescent="0.2">
      <c r="A81" s="154">
        <v>37600</v>
      </c>
      <c r="B81" s="66" t="s">
        <v>421</v>
      </c>
      <c r="C81" s="6" t="s">
        <v>382</v>
      </c>
      <c r="D81" s="56">
        <v>41297</v>
      </c>
      <c r="E81" s="262">
        <v>1703.33</v>
      </c>
      <c r="F81" s="54">
        <f t="shared" si="5"/>
        <v>2.6513400221759475E-2</v>
      </c>
      <c r="G81" s="80">
        <f t="shared" si="6"/>
        <v>45.161069999729563</v>
      </c>
    </row>
    <row r="82" spans="1:7" x14ac:dyDescent="0.2">
      <c r="A82" s="154">
        <v>37600</v>
      </c>
      <c r="B82" s="66" t="s">
        <v>422</v>
      </c>
      <c r="C82" s="6" t="s">
        <v>381</v>
      </c>
      <c r="D82" s="56">
        <v>41297</v>
      </c>
      <c r="E82" s="262">
        <v>1878.29</v>
      </c>
      <c r="F82" s="54">
        <f t="shared" si="5"/>
        <v>2.6513400221759475E-2</v>
      </c>
      <c r="G82" s="80">
        <f t="shared" si="6"/>
        <v>49.799854502528603</v>
      </c>
    </row>
    <row r="83" spans="1:7" x14ac:dyDescent="0.2">
      <c r="A83" s="154">
        <v>37600</v>
      </c>
      <c r="B83" s="66" t="s">
        <v>423</v>
      </c>
      <c r="C83" s="6" t="s">
        <v>380</v>
      </c>
      <c r="D83" s="56">
        <v>41297</v>
      </c>
      <c r="E83" s="262">
        <v>515.86</v>
      </c>
      <c r="F83" s="54">
        <f t="shared" si="5"/>
        <v>2.6513400221759475E-2</v>
      </c>
      <c r="G83" s="80">
        <f t="shared" si="6"/>
        <v>13.677202638396842</v>
      </c>
    </row>
    <row r="84" spans="1:7" x14ac:dyDescent="0.2">
      <c r="A84" s="154">
        <v>37600</v>
      </c>
      <c r="B84" s="66" t="s">
        <v>424</v>
      </c>
      <c r="C84" s="6" t="s">
        <v>383</v>
      </c>
      <c r="D84" s="56">
        <v>41297</v>
      </c>
      <c r="E84" s="262">
        <v>350.48</v>
      </c>
      <c r="F84" s="54">
        <f t="shared" si="5"/>
        <v>2.6513400221759475E-2</v>
      </c>
      <c r="G84" s="80">
        <f t="shared" si="6"/>
        <v>9.292416509722262</v>
      </c>
    </row>
    <row r="85" spans="1:7" x14ac:dyDescent="0.2">
      <c r="A85" s="154">
        <v>37600</v>
      </c>
      <c r="B85" s="66" t="s">
        <v>425</v>
      </c>
      <c r="C85" s="6" t="s">
        <v>449</v>
      </c>
      <c r="D85" s="56">
        <v>41297</v>
      </c>
      <c r="E85" s="262">
        <v>11301.330000000002</v>
      </c>
      <c r="F85" s="54">
        <f t="shared" si="5"/>
        <v>2.6513400221759475E-2</v>
      </c>
      <c r="G85" s="80">
        <f t="shared" si="6"/>
        <v>299.63668532817707</v>
      </c>
    </row>
    <row r="86" spans="1:7" x14ac:dyDescent="0.2">
      <c r="A86" s="154">
        <v>37600</v>
      </c>
      <c r="B86" s="66" t="s">
        <v>426</v>
      </c>
      <c r="C86" s="6" t="s">
        <v>382</v>
      </c>
      <c r="D86" s="56">
        <v>41367</v>
      </c>
      <c r="E86" s="262">
        <v>897.14</v>
      </c>
      <c r="F86" s="54">
        <f t="shared" si="5"/>
        <v>2.6513400221759475E-2</v>
      </c>
      <c r="G86" s="80">
        <f t="shared" si="6"/>
        <v>23.786231874949294</v>
      </c>
    </row>
    <row r="87" spans="1:7" x14ac:dyDescent="0.2">
      <c r="A87" s="154">
        <v>37600</v>
      </c>
      <c r="B87" s="66" t="s">
        <v>427</v>
      </c>
      <c r="C87" s="6" t="s">
        <v>381</v>
      </c>
      <c r="D87" s="56">
        <v>41367</v>
      </c>
      <c r="E87" s="262">
        <v>1774.8899999999996</v>
      </c>
      <c r="F87" s="54">
        <f t="shared" si="5"/>
        <v>2.6513400221759475E-2</v>
      </c>
      <c r="G87" s="80">
        <f t="shared" si="6"/>
        <v>47.058368919598664</v>
      </c>
    </row>
    <row r="88" spans="1:7" x14ac:dyDescent="0.2">
      <c r="A88" s="154">
        <v>37600</v>
      </c>
      <c r="B88" s="66" t="s">
        <v>428</v>
      </c>
      <c r="C88" s="6" t="s">
        <v>380</v>
      </c>
      <c r="D88" s="56">
        <v>41367</v>
      </c>
      <c r="E88" s="262">
        <v>514.47</v>
      </c>
      <c r="F88" s="54">
        <f t="shared" si="5"/>
        <v>2.6513400221759475E-2</v>
      </c>
      <c r="G88" s="80">
        <f t="shared" si="6"/>
        <v>13.640349012088597</v>
      </c>
    </row>
    <row r="89" spans="1:7" x14ac:dyDescent="0.2">
      <c r="A89" s="154">
        <v>37600</v>
      </c>
      <c r="B89" s="66" t="s">
        <v>429</v>
      </c>
      <c r="C89" s="6" t="s">
        <v>383</v>
      </c>
      <c r="D89" s="56">
        <v>41367</v>
      </c>
      <c r="E89" s="262">
        <v>1974.03</v>
      </c>
      <c r="F89" s="54">
        <f t="shared" si="5"/>
        <v>2.6513400221759475E-2</v>
      </c>
      <c r="G89" s="80">
        <f t="shared" si="6"/>
        <v>52.338247439759854</v>
      </c>
    </row>
    <row r="90" spans="1:7" x14ac:dyDescent="0.2">
      <c r="A90" s="154">
        <v>37600</v>
      </c>
      <c r="B90" s="66" t="s">
        <v>430</v>
      </c>
      <c r="C90" s="6" t="s">
        <v>382</v>
      </c>
      <c r="D90" s="56">
        <v>41428</v>
      </c>
      <c r="E90" s="262">
        <v>1498.1999999999998</v>
      </c>
      <c r="F90" s="54">
        <f t="shared" si="5"/>
        <v>2.6513400221759475E-2</v>
      </c>
      <c r="G90" s="80">
        <f t="shared" si="6"/>
        <v>39.722376212240043</v>
      </c>
    </row>
    <row r="91" spans="1:7" x14ac:dyDescent="0.2">
      <c r="A91" s="154">
        <v>37600</v>
      </c>
      <c r="B91" s="66" t="s">
        <v>431</v>
      </c>
      <c r="C91" s="6" t="s">
        <v>450</v>
      </c>
      <c r="D91" s="56">
        <v>41428</v>
      </c>
      <c r="E91" s="262">
        <v>3625.7599999999998</v>
      </c>
      <c r="F91" s="54">
        <f t="shared" si="5"/>
        <v>2.6513400221759475E-2</v>
      </c>
      <c r="G91" s="80">
        <f t="shared" si="6"/>
        <v>96.131225988046623</v>
      </c>
    </row>
    <row r="92" spans="1:7" x14ac:dyDescent="0.2">
      <c r="A92" s="154">
        <v>37600</v>
      </c>
      <c r="B92" s="66" t="s">
        <v>432</v>
      </c>
      <c r="C92" s="6" t="s">
        <v>380</v>
      </c>
      <c r="D92" s="56">
        <v>41428</v>
      </c>
      <c r="E92" s="262">
        <v>3442.71</v>
      </c>
      <c r="F92" s="54">
        <f t="shared" si="5"/>
        <v>2.6513400221759475E-2</v>
      </c>
      <c r="G92" s="80">
        <f t="shared" si="6"/>
        <v>91.277948077453559</v>
      </c>
    </row>
    <row r="93" spans="1:7" x14ac:dyDescent="0.2">
      <c r="A93" s="154">
        <v>37600</v>
      </c>
      <c r="B93" s="66" t="s">
        <v>433</v>
      </c>
      <c r="C93" s="6" t="s">
        <v>383</v>
      </c>
      <c r="D93" s="56">
        <v>41428</v>
      </c>
      <c r="E93" s="262">
        <v>1692.4399999999998</v>
      </c>
      <c r="F93" s="54">
        <f t="shared" si="5"/>
        <v>2.6513400221759475E-2</v>
      </c>
      <c r="G93" s="80">
        <f t="shared" si="6"/>
        <v>44.872339071314599</v>
      </c>
    </row>
    <row r="94" spans="1:7" x14ac:dyDescent="0.2">
      <c r="A94" s="154">
        <v>37600</v>
      </c>
      <c r="B94" s="66" t="s">
        <v>434</v>
      </c>
      <c r="C94" s="6" t="s">
        <v>382</v>
      </c>
      <c r="D94" s="56">
        <v>41297</v>
      </c>
      <c r="E94" s="262">
        <v>2848.71</v>
      </c>
      <c r="F94" s="54">
        <f t="shared" si="5"/>
        <v>2.6513400221759475E-2</v>
      </c>
      <c r="G94" s="80">
        <f t="shared" si="6"/>
        <v>75.528988345728436</v>
      </c>
    </row>
    <row r="95" spans="1:7" x14ac:dyDescent="0.2">
      <c r="A95" s="154">
        <v>37600</v>
      </c>
      <c r="B95" s="66" t="s">
        <v>435</v>
      </c>
      <c r="C95" s="6" t="s">
        <v>381</v>
      </c>
      <c r="D95" s="56">
        <v>41297</v>
      </c>
      <c r="E95" s="262">
        <v>23862.939999999988</v>
      </c>
      <c r="F95" s="54">
        <f t="shared" si="5"/>
        <v>2.6513400221759475E-2</v>
      </c>
      <c r="G95" s="80">
        <f t="shared" si="6"/>
        <v>632.68767868783277</v>
      </c>
    </row>
    <row r="96" spans="1:7" x14ac:dyDescent="0.2">
      <c r="A96" s="154">
        <v>37600</v>
      </c>
      <c r="B96" s="66" t="s">
        <v>436</v>
      </c>
      <c r="C96" s="6" t="s">
        <v>380</v>
      </c>
      <c r="D96" s="56">
        <v>41297</v>
      </c>
      <c r="E96" s="262">
        <v>2962.0600000000018</v>
      </c>
      <c r="F96" s="54">
        <f t="shared" si="5"/>
        <v>2.6513400221759475E-2</v>
      </c>
      <c r="G96" s="80">
        <f t="shared" si="6"/>
        <v>78.534282260864913</v>
      </c>
    </row>
    <row r="97" spans="1:7" x14ac:dyDescent="0.2">
      <c r="A97" s="154">
        <v>37600</v>
      </c>
      <c r="B97" s="66" t="s">
        <v>437</v>
      </c>
      <c r="C97" s="6" t="s">
        <v>383</v>
      </c>
      <c r="D97" s="56">
        <v>41297</v>
      </c>
      <c r="E97" s="262">
        <v>243.81</v>
      </c>
      <c r="F97" s="54">
        <f t="shared" si="5"/>
        <v>2.6513400221759475E-2</v>
      </c>
      <c r="G97" s="80">
        <f t="shared" si="6"/>
        <v>6.4642321080671774</v>
      </c>
    </row>
    <row r="98" spans="1:7" x14ac:dyDescent="0.2">
      <c r="A98" s="154">
        <v>37600</v>
      </c>
      <c r="B98" s="66" t="s">
        <v>438</v>
      </c>
      <c r="C98" s="6" t="s">
        <v>382</v>
      </c>
      <c r="D98" s="56">
        <v>41376</v>
      </c>
      <c r="E98" s="262">
        <v>4726.8600000000006</v>
      </c>
      <c r="F98" s="54">
        <f t="shared" si="5"/>
        <v>2.6513400221759475E-2</v>
      </c>
      <c r="G98" s="80">
        <f t="shared" si="6"/>
        <v>125.32513097222601</v>
      </c>
    </row>
    <row r="99" spans="1:7" x14ac:dyDescent="0.2">
      <c r="A99" s="154">
        <v>37600</v>
      </c>
      <c r="B99" s="66" t="s">
        <v>439</v>
      </c>
      <c r="C99" s="6" t="s">
        <v>381</v>
      </c>
      <c r="D99" s="56">
        <v>41379</v>
      </c>
      <c r="E99" s="262">
        <v>1341.4399999999998</v>
      </c>
      <c r="F99" s="54">
        <f t="shared" si="5"/>
        <v>2.6513400221759475E-2</v>
      </c>
      <c r="G99" s="80">
        <f t="shared" si="6"/>
        <v>35.566135593477028</v>
      </c>
    </row>
    <row r="100" spans="1:7" x14ac:dyDescent="0.2">
      <c r="A100" s="154">
        <v>37600</v>
      </c>
      <c r="B100" s="66" t="s">
        <v>440</v>
      </c>
      <c r="C100" s="6" t="s">
        <v>380</v>
      </c>
      <c r="D100" s="56">
        <v>41380</v>
      </c>
      <c r="E100" s="262">
        <v>4745.83</v>
      </c>
      <c r="F100" s="54">
        <f t="shared" si="5"/>
        <v>2.6513400221759475E-2</v>
      </c>
      <c r="G100" s="80">
        <f t="shared" si="6"/>
        <v>125.82809017443277</v>
      </c>
    </row>
    <row r="101" spans="1:7" x14ac:dyDescent="0.2">
      <c r="A101" s="154">
        <v>37600</v>
      </c>
      <c r="B101" s="66" t="s">
        <v>441</v>
      </c>
      <c r="C101" s="6" t="s">
        <v>383</v>
      </c>
      <c r="D101" s="56">
        <v>41381</v>
      </c>
      <c r="E101" s="262">
        <v>6037.1700000000019</v>
      </c>
      <c r="F101" s="54">
        <f t="shared" si="5"/>
        <v>2.6513400221759475E-2</v>
      </c>
      <c r="G101" s="80">
        <f t="shared" si="6"/>
        <v>160.0659044167997</v>
      </c>
    </row>
    <row r="102" spans="1:7" x14ac:dyDescent="0.2">
      <c r="A102" s="154">
        <v>37600</v>
      </c>
      <c r="B102" s="66" t="s">
        <v>442</v>
      </c>
      <c r="C102" s="6" t="s">
        <v>382</v>
      </c>
      <c r="D102" s="56">
        <v>41428</v>
      </c>
      <c r="E102" s="262">
        <v>2357.8399999999997</v>
      </c>
      <c r="F102" s="54">
        <f t="shared" si="5"/>
        <v>2.6513400221759475E-2</v>
      </c>
      <c r="G102" s="80">
        <f t="shared" si="6"/>
        <v>62.514355578873349</v>
      </c>
    </row>
    <row r="103" spans="1:7" x14ac:dyDescent="0.2">
      <c r="A103" s="154">
        <v>37600</v>
      </c>
      <c r="B103" s="66" t="s">
        <v>443</v>
      </c>
      <c r="C103" s="6" t="s">
        <v>450</v>
      </c>
      <c r="D103" s="56">
        <v>41428</v>
      </c>
      <c r="E103" s="262">
        <v>3339.3500000000004</v>
      </c>
      <c r="F103" s="54">
        <f t="shared" si="5"/>
        <v>2.6513400221759475E-2</v>
      </c>
      <c r="G103" s="80">
        <f t="shared" si="6"/>
        <v>88.537523030532512</v>
      </c>
    </row>
    <row r="104" spans="1:7" x14ac:dyDescent="0.2">
      <c r="A104" s="154">
        <v>37600</v>
      </c>
      <c r="B104" s="66" t="s">
        <v>444</v>
      </c>
      <c r="C104" s="6" t="s">
        <v>380</v>
      </c>
      <c r="D104" s="56">
        <v>41428</v>
      </c>
      <c r="E104" s="262">
        <v>6294.0899999999992</v>
      </c>
      <c r="F104" s="54">
        <f t="shared" si="5"/>
        <v>2.6513400221759475E-2</v>
      </c>
      <c r="G104" s="80">
        <f t="shared" si="6"/>
        <v>166.87772720177406</v>
      </c>
    </row>
    <row r="105" spans="1:7" x14ac:dyDescent="0.2">
      <c r="A105" s="154">
        <v>37600</v>
      </c>
      <c r="B105" s="66" t="s">
        <v>445</v>
      </c>
      <c r="C105" s="6" t="s">
        <v>383</v>
      </c>
      <c r="D105" s="56">
        <v>41428</v>
      </c>
      <c r="E105" s="262">
        <v>4024.47</v>
      </c>
      <c r="F105" s="54">
        <f t="shared" si="5"/>
        <v>2.6513400221759475E-2</v>
      </c>
      <c r="G105" s="80">
        <f t="shared" si="6"/>
        <v>106.70238379046435</v>
      </c>
    </row>
    <row r="106" spans="1:7" x14ac:dyDescent="0.2">
      <c r="A106" s="154">
        <v>37600</v>
      </c>
      <c r="B106" s="66" t="s">
        <v>446</v>
      </c>
      <c r="C106" s="6" t="s">
        <v>451</v>
      </c>
      <c r="D106" s="56">
        <v>41297</v>
      </c>
      <c r="E106" s="262">
        <v>17478.240000000002</v>
      </c>
      <c r="F106" s="54">
        <f t="shared" si="5"/>
        <v>2.6513400221759475E-2</v>
      </c>
      <c r="G106" s="80">
        <f t="shared" si="6"/>
        <v>463.40757229196538</v>
      </c>
    </row>
    <row r="107" spans="1:7" x14ac:dyDescent="0.2">
      <c r="A107" s="154">
        <v>37600</v>
      </c>
      <c r="B107" s="66" t="s">
        <v>447</v>
      </c>
      <c r="C107" s="6" t="s">
        <v>452</v>
      </c>
      <c r="D107" s="56">
        <v>41297</v>
      </c>
      <c r="E107" s="262">
        <v>365.71000000000004</v>
      </c>
      <c r="F107" s="54">
        <f t="shared" si="5"/>
        <v>2.6513400221759475E-2</v>
      </c>
      <c r="G107" s="80">
        <f t="shared" si="6"/>
        <v>9.6962155950996589</v>
      </c>
    </row>
    <row r="108" spans="1:7" x14ac:dyDescent="0.2">
      <c r="A108" s="154">
        <v>37600</v>
      </c>
      <c r="B108" s="66" t="s">
        <v>448</v>
      </c>
      <c r="C108" s="6" t="s">
        <v>453</v>
      </c>
      <c r="D108" s="56">
        <v>41297</v>
      </c>
      <c r="E108" s="262">
        <v>15676.86</v>
      </c>
      <c r="F108" s="54">
        <f t="shared" si="5"/>
        <v>2.6513400221759475E-2</v>
      </c>
      <c r="G108" s="80">
        <f t="shared" si="6"/>
        <v>415.64686340049224</v>
      </c>
    </row>
    <row r="109" spans="1:7" x14ac:dyDescent="0.2">
      <c r="A109" s="154" t="s">
        <v>585</v>
      </c>
      <c r="B109" s="66" t="s">
        <v>184</v>
      </c>
      <c r="C109" s="6" t="s">
        <v>311</v>
      </c>
      <c r="D109" s="56">
        <v>41061</v>
      </c>
      <c r="E109" s="262">
        <v>-53.93</v>
      </c>
      <c r="F109" s="54">
        <f t="shared" si="5"/>
        <v>2.6513400221759475E-2</v>
      </c>
      <c r="G109" s="80">
        <f t="shared" si="6"/>
        <v>-1.4298676739594884</v>
      </c>
    </row>
    <row r="110" spans="1:7" x14ac:dyDescent="0.2">
      <c r="A110" s="154" t="s">
        <v>585</v>
      </c>
      <c r="B110" s="66" t="s">
        <v>184</v>
      </c>
      <c r="C110" s="6" t="s">
        <v>311</v>
      </c>
      <c r="D110" s="56">
        <v>41091</v>
      </c>
      <c r="E110" s="262">
        <v>418.03</v>
      </c>
      <c r="F110" s="54">
        <f t="shared" si="5"/>
        <v>2.6513400221759475E-2</v>
      </c>
      <c r="G110" s="80">
        <f t="shared" si="6"/>
        <v>11.083396694702113</v>
      </c>
    </row>
    <row r="111" spans="1:7" x14ac:dyDescent="0.2">
      <c r="A111" s="154" t="s">
        <v>585</v>
      </c>
      <c r="B111" s="66" t="s">
        <v>185</v>
      </c>
      <c r="C111" s="6" t="s">
        <v>313</v>
      </c>
      <c r="D111" s="56">
        <v>41061</v>
      </c>
      <c r="E111" s="262">
        <v>923.72</v>
      </c>
      <c r="F111" s="54">
        <f t="shared" si="5"/>
        <v>2.6513400221759475E-2</v>
      </c>
      <c r="G111" s="80">
        <f t="shared" si="6"/>
        <v>24.490958052843663</v>
      </c>
    </row>
    <row r="112" spans="1:7" x14ac:dyDescent="0.2">
      <c r="A112" s="154" t="s">
        <v>585</v>
      </c>
      <c r="B112" s="66" t="s">
        <v>185</v>
      </c>
      <c r="C112" s="6" t="s">
        <v>313</v>
      </c>
      <c r="D112" s="56">
        <v>41091</v>
      </c>
      <c r="E112" s="262">
        <v>892.25</v>
      </c>
      <c r="F112" s="54">
        <f t="shared" si="5"/>
        <v>2.6513400221759475E-2</v>
      </c>
      <c r="G112" s="80">
        <f t="shared" si="6"/>
        <v>23.65658134786489</v>
      </c>
    </row>
    <row r="113" spans="1:7" x14ac:dyDescent="0.2">
      <c r="A113" s="154" t="s">
        <v>585</v>
      </c>
      <c r="B113" s="66" t="s">
        <v>186</v>
      </c>
      <c r="C113" s="6" t="s">
        <v>314</v>
      </c>
      <c r="D113" s="56">
        <v>41061</v>
      </c>
      <c r="E113" s="262">
        <v>303.05</v>
      </c>
      <c r="F113" s="54">
        <f t="shared" si="5"/>
        <v>2.6513400221759475E-2</v>
      </c>
      <c r="G113" s="80">
        <f t="shared" si="6"/>
        <v>8.0348859372042085</v>
      </c>
    </row>
    <row r="114" spans="1:7" x14ac:dyDescent="0.2">
      <c r="A114" s="154" t="s">
        <v>585</v>
      </c>
      <c r="B114" s="66" t="s">
        <v>186</v>
      </c>
      <c r="C114" s="6" t="s">
        <v>314</v>
      </c>
      <c r="D114" s="56">
        <v>41091</v>
      </c>
      <c r="E114" s="262">
        <v>45.76</v>
      </c>
      <c r="F114" s="54">
        <f t="shared" si="5"/>
        <v>2.6513400221759475E-2</v>
      </c>
      <c r="G114" s="80">
        <f t="shared" si="6"/>
        <v>1.2132531941477136</v>
      </c>
    </row>
    <row r="115" spans="1:7" x14ac:dyDescent="0.2">
      <c r="A115" s="154" t="s">
        <v>585</v>
      </c>
      <c r="B115" s="66" t="s">
        <v>187</v>
      </c>
      <c r="C115" s="6" t="s">
        <v>341</v>
      </c>
      <c r="D115" s="56">
        <v>41061</v>
      </c>
      <c r="E115" s="262">
        <v>261.04000000000002</v>
      </c>
      <c r="F115" s="54">
        <f t="shared" si="5"/>
        <v>2.6513400221759475E-2</v>
      </c>
      <c r="G115" s="80">
        <f t="shared" si="6"/>
        <v>6.9210579938880938</v>
      </c>
    </row>
    <row r="116" spans="1:7" x14ac:dyDescent="0.2">
      <c r="A116" s="154" t="s">
        <v>585</v>
      </c>
      <c r="B116" s="66" t="s">
        <v>188</v>
      </c>
      <c r="C116" s="6" t="s">
        <v>344</v>
      </c>
      <c r="D116" s="56">
        <v>41061</v>
      </c>
      <c r="E116" s="262">
        <v>17.079999999999998</v>
      </c>
      <c r="F116" s="54">
        <f t="shared" si="5"/>
        <v>2.6513400221759475E-2</v>
      </c>
      <c r="G116" s="80">
        <f t="shared" si="6"/>
        <v>0.45284887578765176</v>
      </c>
    </row>
    <row r="117" spans="1:7" x14ac:dyDescent="0.2">
      <c r="A117" s="154" t="s">
        <v>585</v>
      </c>
      <c r="B117" s="66" t="s">
        <v>189</v>
      </c>
      <c r="C117" s="6" t="s">
        <v>346</v>
      </c>
      <c r="D117" s="56">
        <v>41061</v>
      </c>
      <c r="E117" s="262">
        <v>11.23</v>
      </c>
      <c r="F117" s="54">
        <f t="shared" si="5"/>
        <v>2.6513400221759475E-2</v>
      </c>
      <c r="G117" s="80">
        <f t="shared" si="6"/>
        <v>0.29774548449035892</v>
      </c>
    </row>
    <row r="118" spans="1:7" x14ac:dyDescent="0.2">
      <c r="A118" s="154" t="s">
        <v>585</v>
      </c>
      <c r="B118" s="66" t="s">
        <v>189</v>
      </c>
      <c r="C118" s="6" t="s">
        <v>346</v>
      </c>
      <c r="D118" s="56">
        <v>41091</v>
      </c>
      <c r="E118" s="262">
        <v>-1.36</v>
      </c>
      <c r="F118" s="54">
        <f t="shared" si="5"/>
        <v>2.6513400221759475E-2</v>
      </c>
      <c r="G118" s="80">
        <f t="shared" si="6"/>
        <v>-3.6058224301592889E-2</v>
      </c>
    </row>
    <row r="119" spans="1:7" x14ac:dyDescent="0.2">
      <c r="A119" s="154" t="s">
        <v>586</v>
      </c>
      <c r="B119" s="66" t="s">
        <v>195</v>
      </c>
      <c r="C119" s="6" t="s">
        <v>286</v>
      </c>
      <c r="D119" s="56">
        <v>41061</v>
      </c>
      <c r="E119" s="262">
        <v>1122.03</v>
      </c>
      <c r="F119" s="54">
        <f t="shared" si="5"/>
        <v>2.6513400221759475E-2</v>
      </c>
      <c r="G119" s="80">
        <f t="shared" si="6"/>
        <v>29.748830450820783</v>
      </c>
    </row>
    <row r="120" spans="1:7" x14ac:dyDescent="0.2">
      <c r="A120" s="154" t="s">
        <v>586</v>
      </c>
      <c r="B120" s="66" t="s">
        <v>195</v>
      </c>
      <c r="C120" s="6" t="s">
        <v>286</v>
      </c>
      <c r="D120" s="56">
        <v>41091</v>
      </c>
      <c r="E120" s="262">
        <v>600.19000000000005</v>
      </c>
      <c r="F120" s="54">
        <f t="shared" si="5"/>
        <v>2.6513400221759475E-2</v>
      </c>
      <c r="G120" s="80">
        <f t="shared" si="6"/>
        <v>15.913077679097821</v>
      </c>
    </row>
    <row r="121" spans="1:7" x14ac:dyDescent="0.2">
      <c r="A121" s="154" t="s">
        <v>586</v>
      </c>
      <c r="B121" s="66" t="s">
        <v>184</v>
      </c>
      <c r="C121" s="6" t="s">
        <v>311</v>
      </c>
      <c r="D121" s="56">
        <v>41061</v>
      </c>
      <c r="E121" s="262">
        <v>-107.86</v>
      </c>
      <c r="F121" s="54">
        <f t="shared" si="5"/>
        <v>2.6513400221759475E-2</v>
      </c>
      <c r="G121" s="80">
        <f t="shared" si="6"/>
        <v>-2.8597353479189769</v>
      </c>
    </row>
    <row r="122" spans="1:7" x14ac:dyDescent="0.2">
      <c r="A122" s="154" t="s">
        <v>586</v>
      </c>
      <c r="B122" s="66" t="s">
        <v>184</v>
      </c>
      <c r="C122" s="6" t="s">
        <v>311</v>
      </c>
      <c r="D122" s="56">
        <v>41091</v>
      </c>
      <c r="E122" s="262">
        <v>836.02</v>
      </c>
      <c r="F122" s="54">
        <f t="shared" si="5"/>
        <v>2.6513400221759475E-2</v>
      </c>
      <c r="G122" s="80">
        <f t="shared" si="6"/>
        <v>22.165732853395355</v>
      </c>
    </row>
    <row r="123" spans="1:7" x14ac:dyDescent="0.2">
      <c r="A123" s="154" t="s">
        <v>586</v>
      </c>
      <c r="B123" s="66" t="s">
        <v>186</v>
      </c>
      <c r="C123" s="6" t="s">
        <v>314</v>
      </c>
      <c r="D123" s="56">
        <v>41061</v>
      </c>
      <c r="E123" s="262">
        <v>586.29</v>
      </c>
      <c r="F123" s="54">
        <f t="shared" ref="F123:F182" si="7">$B$10</f>
        <v>2.6513400221759475E-2</v>
      </c>
      <c r="G123" s="80">
        <f t="shared" ref="G123:G182" si="8">E123*F123</f>
        <v>15.544541416015361</v>
      </c>
    </row>
    <row r="124" spans="1:7" x14ac:dyDescent="0.2">
      <c r="A124" s="154" t="s">
        <v>586</v>
      </c>
      <c r="B124" s="66" t="s">
        <v>186</v>
      </c>
      <c r="C124" s="6" t="s">
        <v>314</v>
      </c>
      <c r="D124" s="56">
        <v>41091</v>
      </c>
      <c r="E124" s="262">
        <v>88.57</v>
      </c>
      <c r="F124" s="54">
        <f t="shared" si="7"/>
        <v>2.6513400221759475E-2</v>
      </c>
      <c r="G124" s="80">
        <f t="shared" si="8"/>
        <v>2.3482918576412364</v>
      </c>
    </row>
    <row r="125" spans="1:7" x14ac:dyDescent="0.2">
      <c r="A125" s="154" t="s">
        <v>586</v>
      </c>
      <c r="B125" s="66" t="s">
        <v>197</v>
      </c>
      <c r="C125" s="6" t="s">
        <v>315</v>
      </c>
      <c r="D125" s="56">
        <v>41091</v>
      </c>
      <c r="E125" s="262">
        <v>-2.33</v>
      </c>
      <c r="F125" s="54">
        <f t="shared" si="7"/>
        <v>2.6513400221759475E-2</v>
      </c>
      <c r="G125" s="80">
        <f t="shared" si="8"/>
        <v>-6.1776222516699578E-2</v>
      </c>
    </row>
    <row r="126" spans="1:7" x14ac:dyDescent="0.2">
      <c r="A126" s="154" t="s">
        <v>586</v>
      </c>
      <c r="B126" s="66" t="s">
        <v>198</v>
      </c>
      <c r="C126" s="6" t="s">
        <v>317</v>
      </c>
      <c r="D126" s="56">
        <v>41061</v>
      </c>
      <c r="E126" s="262">
        <v>9483.73</v>
      </c>
      <c r="F126" s="54">
        <f t="shared" si="7"/>
        <v>2.6513400221759475E-2</v>
      </c>
      <c r="G126" s="80">
        <f t="shared" si="8"/>
        <v>251.44592908510697</v>
      </c>
    </row>
    <row r="127" spans="1:7" x14ac:dyDescent="0.2">
      <c r="A127" s="154" t="s">
        <v>586</v>
      </c>
      <c r="B127" s="66" t="s">
        <v>198</v>
      </c>
      <c r="C127" s="6" t="s">
        <v>317</v>
      </c>
      <c r="D127" s="56">
        <v>41091</v>
      </c>
      <c r="E127" s="262">
        <v>3584.7100000000005</v>
      </c>
      <c r="F127" s="54">
        <f t="shared" si="7"/>
        <v>2.6513400221759475E-2</v>
      </c>
      <c r="G127" s="80">
        <f t="shared" si="8"/>
        <v>95.042850908943421</v>
      </c>
    </row>
    <row r="128" spans="1:7" x14ac:dyDescent="0.2">
      <c r="A128" s="154" t="s">
        <v>586</v>
      </c>
      <c r="B128" s="66" t="s">
        <v>199</v>
      </c>
      <c r="C128" s="6" t="s">
        <v>319</v>
      </c>
      <c r="D128" s="56">
        <v>41061</v>
      </c>
      <c r="E128" s="262">
        <v>180.92</v>
      </c>
      <c r="F128" s="54">
        <f t="shared" si="7"/>
        <v>2.6513400221759475E-2</v>
      </c>
      <c r="G128" s="80">
        <f t="shared" si="8"/>
        <v>4.796804368120724</v>
      </c>
    </row>
    <row r="129" spans="1:7" x14ac:dyDescent="0.2">
      <c r="A129" s="154" t="s">
        <v>586</v>
      </c>
      <c r="B129" s="66" t="s">
        <v>199</v>
      </c>
      <c r="C129" s="6" t="s">
        <v>319</v>
      </c>
      <c r="D129" s="56">
        <v>41091</v>
      </c>
      <c r="E129" s="262">
        <v>44.08</v>
      </c>
      <c r="F129" s="54">
        <f t="shared" si="7"/>
        <v>2.6513400221759475E-2</v>
      </c>
      <c r="G129" s="80">
        <f t="shared" si="8"/>
        <v>1.1687106817751576</v>
      </c>
    </row>
    <row r="130" spans="1:7" x14ac:dyDescent="0.2">
      <c r="A130" s="154" t="s">
        <v>586</v>
      </c>
      <c r="B130" s="66" t="s">
        <v>201</v>
      </c>
      <c r="C130" s="6" t="s">
        <v>343</v>
      </c>
      <c r="D130" s="56">
        <v>41061</v>
      </c>
      <c r="E130" s="262">
        <v>55.73</v>
      </c>
      <c r="F130" s="54">
        <f t="shared" si="7"/>
        <v>2.6513400221759475E-2</v>
      </c>
      <c r="G130" s="80">
        <f t="shared" si="8"/>
        <v>1.4775917943586554</v>
      </c>
    </row>
    <row r="131" spans="1:7" x14ac:dyDescent="0.2">
      <c r="A131" s="154" t="s">
        <v>586</v>
      </c>
      <c r="B131" s="66" t="s">
        <v>188</v>
      </c>
      <c r="C131" s="6" t="s">
        <v>344</v>
      </c>
      <c r="D131" s="56">
        <v>41061</v>
      </c>
      <c r="E131" s="262">
        <v>273.29000000000002</v>
      </c>
      <c r="F131" s="54">
        <f t="shared" si="7"/>
        <v>2.6513400221759475E-2</v>
      </c>
      <c r="G131" s="80">
        <f t="shared" si="8"/>
        <v>7.245847146604647</v>
      </c>
    </row>
    <row r="132" spans="1:7" x14ac:dyDescent="0.2">
      <c r="A132" s="154" t="s">
        <v>587</v>
      </c>
      <c r="B132" s="66" t="s">
        <v>194</v>
      </c>
      <c r="C132" s="6" t="s">
        <v>284</v>
      </c>
      <c r="D132" s="56">
        <v>41061</v>
      </c>
      <c r="E132" s="262">
        <v>6243.36</v>
      </c>
      <c r="F132" s="54">
        <f t="shared" si="7"/>
        <v>2.6513400221759475E-2</v>
      </c>
      <c r="G132" s="80">
        <f t="shared" si="8"/>
        <v>165.53270240852422</v>
      </c>
    </row>
    <row r="133" spans="1:7" x14ac:dyDescent="0.2">
      <c r="A133" s="154" t="s">
        <v>587</v>
      </c>
      <c r="B133" s="66" t="s">
        <v>194</v>
      </c>
      <c r="C133" s="6" t="s">
        <v>284</v>
      </c>
      <c r="D133" s="56">
        <v>41091</v>
      </c>
      <c r="E133" s="262">
        <v>1378.77</v>
      </c>
      <c r="F133" s="54">
        <f t="shared" si="7"/>
        <v>2.6513400221759475E-2</v>
      </c>
      <c r="G133" s="80">
        <f t="shared" si="8"/>
        <v>36.555880823755309</v>
      </c>
    </row>
    <row r="134" spans="1:7" x14ac:dyDescent="0.2">
      <c r="A134" s="154" t="s">
        <v>587</v>
      </c>
      <c r="B134" s="66" t="s">
        <v>195</v>
      </c>
      <c r="C134" s="6" t="s">
        <v>286</v>
      </c>
      <c r="D134" s="56">
        <v>41061</v>
      </c>
      <c r="E134" s="262">
        <v>2133.2399999999998</v>
      </c>
      <c r="F134" s="54">
        <f t="shared" si="7"/>
        <v>2.6513400221759475E-2</v>
      </c>
      <c r="G134" s="80">
        <f t="shared" si="8"/>
        <v>56.559445889066176</v>
      </c>
    </row>
    <row r="135" spans="1:7" x14ac:dyDescent="0.2">
      <c r="A135" s="154" t="s">
        <v>587</v>
      </c>
      <c r="B135" s="66" t="s">
        <v>195</v>
      </c>
      <c r="C135" s="6" t="s">
        <v>286</v>
      </c>
      <c r="D135" s="56">
        <v>41091</v>
      </c>
      <c r="E135" s="262">
        <v>1141.1300000000001</v>
      </c>
      <c r="F135" s="54">
        <f t="shared" si="7"/>
        <v>2.6513400221759475E-2</v>
      </c>
      <c r="G135" s="80">
        <f t="shared" si="8"/>
        <v>30.255236395056393</v>
      </c>
    </row>
    <row r="136" spans="1:7" x14ac:dyDescent="0.2">
      <c r="A136" s="154" t="s">
        <v>587</v>
      </c>
      <c r="B136" s="66" t="s">
        <v>196</v>
      </c>
      <c r="C136" s="6" t="s">
        <v>287</v>
      </c>
      <c r="D136" s="56">
        <v>41061</v>
      </c>
      <c r="E136" s="262">
        <v>4219.53</v>
      </c>
      <c r="F136" s="54">
        <f t="shared" si="7"/>
        <v>2.6513400221759475E-2</v>
      </c>
      <c r="G136" s="80">
        <f t="shared" si="8"/>
        <v>111.87408763772075</v>
      </c>
    </row>
    <row r="137" spans="1:7" x14ac:dyDescent="0.2">
      <c r="A137" s="154" t="s">
        <v>587</v>
      </c>
      <c r="B137" s="66" t="s">
        <v>196</v>
      </c>
      <c r="C137" s="6" t="s">
        <v>287</v>
      </c>
      <c r="D137" s="56">
        <v>41091</v>
      </c>
      <c r="E137" s="262">
        <v>5346.65</v>
      </c>
      <c r="F137" s="54">
        <f t="shared" si="7"/>
        <v>2.6513400221759475E-2</v>
      </c>
      <c r="G137" s="80">
        <f t="shared" si="8"/>
        <v>141.7578712956703</v>
      </c>
    </row>
    <row r="138" spans="1:7" x14ac:dyDescent="0.2">
      <c r="A138" s="154" t="s">
        <v>587</v>
      </c>
      <c r="B138" s="66" t="s">
        <v>197</v>
      </c>
      <c r="C138" s="6" t="s">
        <v>315</v>
      </c>
      <c r="D138" s="56">
        <v>41061</v>
      </c>
      <c r="E138" s="262">
        <v>2728.73</v>
      </c>
      <c r="F138" s="54">
        <f t="shared" si="7"/>
        <v>2.6513400221759475E-2</v>
      </c>
      <c r="G138" s="80">
        <f t="shared" si="8"/>
        <v>72.347910587121731</v>
      </c>
    </row>
    <row r="139" spans="1:7" x14ac:dyDescent="0.2">
      <c r="A139" s="154" t="s">
        <v>587</v>
      </c>
      <c r="B139" s="66" t="s">
        <v>197</v>
      </c>
      <c r="C139" s="6" t="s">
        <v>315</v>
      </c>
      <c r="D139" s="56">
        <v>41091</v>
      </c>
      <c r="E139" s="262">
        <v>-2.34</v>
      </c>
      <c r="F139" s="54">
        <f t="shared" si="7"/>
        <v>2.6513400221759475E-2</v>
      </c>
      <c r="G139" s="80">
        <f t="shared" si="8"/>
        <v>-6.2041356518917165E-2</v>
      </c>
    </row>
    <row r="140" spans="1:7" x14ac:dyDescent="0.2">
      <c r="A140" s="154" t="s">
        <v>587</v>
      </c>
      <c r="B140" s="66" t="s">
        <v>198</v>
      </c>
      <c r="C140" s="6" t="s">
        <v>317</v>
      </c>
      <c r="D140" s="56">
        <v>41061</v>
      </c>
      <c r="E140" s="262">
        <v>1515.22</v>
      </c>
      <c r="F140" s="54">
        <f t="shared" si="7"/>
        <v>2.6513400221759475E-2</v>
      </c>
      <c r="G140" s="80">
        <f t="shared" si="8"/>
        <v>40.173634284014391</v>
      </c>
    </row>
    <row r="141" spans="1:7" x14ac:dyDescent="0.2">
      <c r="A141" s="154" t="s">
        <v>587</v>
      </c>
      <c r="B141" s="66" t="s">
        <v>198</v>
      </c>
      <c r="C141" s="6" t="s">
        <v>317</v>
      </c>
      <c r="D141" s="56">
        <v>41091</v>
      </c>
      <c r="E141" s="262">
        <v>6288.39</v>
      </c>
      <c r="F141" s="54">
        <f t="shared" si="7"/>
        <v>2.6513400221759475E-2</v>
      </c>
      <c r="G141" s="80">
        <f t="shared" si="8"/>
        <v>166.72660082051007</v>
      </c>
    </row>
    <row r="142" spans="1:7" x14ac:dyDescent="0.2">
      <c r="A142" s="154" t="s">
        <v>587</v>
      </c>
      <c r="B142" s="66" t="s">
        <v>199</v>
      </c>
      <c r="C142" s="6" t="s">
        <v>319</v>
      </c>
      <c r="D142" s="56">
        <v>41061</v>
      </c>
      <c r="E142" s="262">
        <v>614.08000000000004</v>
      </c>
      <c r="F142" s="54">
        <f t="shared" si="7"/>
        <v>2.6513400221759475E-2</v>
      </c>
      <c r="G142" s="80">
        <f t="shared" si="8"/>
        <v>16.281348808178059</v>
      </c>
    </row>
    <row r="143" spans="1:7" x14ac:dyDescent="0.2">
      <c r="A143" s="154" t="s">
        <v>587</v>
      </c>
      <c r="B143" s="66" t="s">
        <v>199</v>
      </c>
      <c r="C143" s="6" t="s">
        <v>319</v>
      </c>
      <c r="D143" s="56">
        <v>41091</v>
      </c>
      <c r="E143" s="262">
        <v>22.07</v>
      </c>
      <c r="F143" s="54">
        <f t="shared" si="7"/>
        <v>2.6513400221759475E-2</v>
      </c>
      <c r="G143" s="80">
        <f t="shared" si="8"/>
        <v>0.58515074289423163</v>
      </c>
    </row>
    <row r="144" spans="1:7" x14ac:dyDescent="0.2">
      <c r="A144" s="154" t="s">
        <v>587</v>
      </c>
      <c r="B144" s="66" t="s">
        <v>202</v>
      </c>
      <c r="C144" s="6" t="s">
        <v>345</v>
      </c>
      <c r="D144" s="56">
        <v>41061</v>
      </c>
      <c r="E144" s="262">
        <v>-1.97</v>
      </c>
      <c r="F144" s="54">
        <f t="shared" si="7"/>
        <v>2.6513400221759475E-2</v>
      </c>
      <c r="G144" s="80">
        <f t="shared" si="8"/>
        <v>-5.2231398436866167E-2</v>
      </c>
    </row>
    <row r="145" spans="1:7" x14ac:dyDescent="0.2">
      <c r="A145" s="154" t="s">
        <v>587</v>
      </c>
      <c r="B145" s="66" t="s">
        <v>189</v>
      </c>
      <c r="C145" s="6" t="s">
        <v>346</v>
      </c>
      <c r="D145" s="56">
        <v>41061</v>
      </c>
      <c r="E145" s="262">
        <v>1518.26</v>
      </c>
      <c r="F145" s="54">
        <f t="shared" si="7"/>
        <v>2.6513400221759475E-2</v>
      </c>
      <c r="G145" s="80">
        <f t="shared" si="8"/>
        <v>40.25423502068854</v>
      </c>
    </row>
    <row r="146" spans="1:7" x14ac:dyDescent="0.2">
      <c r="A146" s="154" t="s">
        <v>587</v>
      </c>
      <c r="B146" s="66" t="s">
        <v>189</v>
      </c>
      <c r="C146" s="6" t="s">
        <v>346</v>
      </c>
      <c r="D146" s="56">
        <v>41091</v>
      </c>
      <c r="E146" s="262">
        <v>17.850000000000001</v>
      </c>
      <c r="F146" s="54">
        <f t="shared" si="7"/>
        <v>2.6513400221759475E-2</v>
      </c>
      <c r="G146" s="80">
        <f t="shared" si="8"/>
        <v>0.47326419395840669</v>
      </c>
    </row>
    <row r="147" spans="1:7" x14ac:dyDescent="0.2">
      <c r="A147" s="154" t="s">
        <v>587</v>
      </c>
      <c r="B147" s="66" t="s">
        <v>566</v>
      </c>
      <c r="C147" s="6" t="s">
        <v>565</v>
      </c>
      <c r="D147" s="56">
        <v>41061</v>
      </c>
      <c r="E147" s="262">
        <v>195.31</v>
      </c>
      <c r="F147" s="54">
        <f t="shared" si="7"/>
        <v>2.6513400221759475E-2</v>
      </c>
      <c r="G147" s="80">
        <f t="shared" si="8"/>
        <v>5.1783321973118435</v>
      </c>
    </row>
    <row r="148" spans="1:7" x14ac:dyDescent="0.2">
      <c r="A148" s="154" t="s">
        <v>587</v>
      </c>
      <c r="B148" s="66" t="s">
        <v>567</v>
      </c>
      <c r="C148" s="6" t="s">
        <v>557</v>
      </c>
      <c r="D148" s="56">
        <v>41061</v>
      </c>
      <c r="E148" s="262">
        <v>1993.88</v>
      </c>
      <c r="F148" s="54">
        <f t="shared" si="7"/>
        <v>2.6513400221759475E-2</v>
      </c>
      <c r="G148" s="80">
        <f t="shared" si="8"/>
        <v>52.864538434161787</v>
      </c>
    </row>
    <row r="149" spans="1:7" x14ac:dyDescent="0.2">
      <c r="A149" s="154" t="s">
        <v>587</v>
      </c>
      <c r="B149" s="66" t="s">
        <v>567</v>
      </c>
      <c r="C149" s="6" t="s">
        <v>557</v>
      </c>
      <c r="D149" s="56">
        <v>41091</v>
      </c>
      <c r="E149" s="262">
        <v>24.709999999999994</v>
      </c>
      <c r="F149" s="54">
        <f t="shared" si="7"/>
        <v>2.6513400221759475E-2</v>
      </c>
      <c r="G149" s="80">
        <f t="shared" si="8"/>
        <v>0.65514611947967649</v>
      </c>
    </row>
    <row r="150" spans="1:7" x14ac:dyDescent="0.2">
      <c r="A150" s="154" t="s">
        <v>585</v>
      </c>
      <c r="B150" s="66" t="s">
        <v>184</v>
      </c>
      <c r="C150" s="6" t="s">
        <v>311</v>
      </c>
      <c r="D150" s="56">
        <v>41122</v>
      </c>
      <c r="E150" s="262">
        <v>-78.86</v>
      </c>
      <c r="F150" s="54">
        <f t="shared" si="7"/>
        <v>2.6513400221759475E-2</v>
      </c>
      <c r="G150" s="80">
        <f t="shared" si="8"/>
        <v>-2.0908467414879524</v>
      </c>
    </row>
    <row r="151" spans="1:7" x14ac:dyDescent="0.2">
      <c r="A151" s="154" t="s">
        <v>585</v>
      </c>
      <c r="B151" s="66" t="s">
        <v>184</v>
      </c>
      <c r="C151" s="6" t="s">
        <v>311</v>
      </c>
      <c r="D151" s="56">
        <v>41153</v>
      </c>
      <c r="E151" s="262">
        <v>1107.6400000000001</v>
      </c>
      <c r="F151" s="54">
        <f t="shared" si="7"/>
        <v>2.6513400221759475E-2</v>
      </c>
      <c r="G151" s="80">
        <f t="shared" si="8"/>
        <v>29.367302621629669</v>
      </c>
    </row>
    <row r="152" spans="1:7" x14ac:dyDescent="0.2">
      <c r="A152" s="154" t="s">
        <v>585</v>
      </c>
      <c r="B152" s="66" t="s">
        <v>184</v>
      </c>
      <c r="C152" s="6" t="s">
        <v>311</v>
      </c>
      <c r="D152" s="56">
        <v>41183</v>
      </c>
      <c r="E152" s="262">
        <v>394.32</v>
      </c>
      <c r="F152" s="54">
        <f t="shared" si="7"/>
        <v>2.6513400221759475E-2</v>
      </c>
      <c r="G152" s="80">
        <f t="shared" si="8"/>
        <v>10.454763975444196</v>
      </c>
    </row>
    <row r="153" spans="1:7" x14ac:dyDescent="0.2">
      <c r="A153" s="154" t="s">
        <v>585</v>
      </c>
      <c r="B153" s="66" t="s">
        <v>185</v>
      </c>
      <c r="C153" s="6" t="s">
        <v>313</v>
      </c>
      <c r="D153" s="56">
        <v>41122</v>
      </c>
      <c r="E153" s="262">
        <v>2718.21</v>
      </c>
      <c r="F153" s="54">
        <f t="shared" si="7"/>
        <v>2.6513400221759475E-2</v>
      </c>
      <c r="G153" s="80">
        <f t="shared" si="8"/>
        <v>72.068989616788826</v>
      </c>
    </row>
    <row r="154" spans="1:7" x14ac:dyDescent="0.2">
      <c r="A154" s="154" t="s">
        <v>585</v>
      </c>
      <c r="B154" s="66" t="s">
        <v>185</v>
      </c>
      <c r="C154" s="6" t="s">
        <v>313</v>
      </c>
      <c r="D154" s="56">
        <v>41153</v>
      </c>
      <c r="E154" s="262">
        <v>2387.33</v>
      </c>
      <c r="F154" s="54">
        <f t="shared" si="7"/>
        <v>2.6513400221759475E-2</v>
      </c>
      <c r="G154" s="80">
        <f t="shared" si="8"/>
        <v>63.296235751413043</v>
      </c>
    </row>
    <row r="155" spans="1:7" x14ac:dyDescent="0.2">
      <c r="A155" s="154" t="s">
        <v>585</v>
      </c>
      <c r="B155" s="66" t="s">
        <v>185</v>
      </c>
      <c r="C155" s="6" t="s">
        <v>313</v>
      </c>
      <c r="D155" s="56">
        <v>41183</v>
      </c>
      <c r="E155" s="262">
        <v>1402.96</v>
      </c>
      <c r="F155" s="54">
        <f t="shared" si="7"/>
        <v>2.6513400221759475E-2</v>
      </c>
      <c r="G155" s="80">
        <f t="shared" si="8"/>
        <v>37.197239975119672</v>
      </c>
    </row>
    <row r="156" spans="1:7" x14ac:dyDescent="0.2">
      <c r="A156" s="154" t="s">
        <v>585</v>
      </c>
      <c r="B156" s="66" t="s">
        <v>186</v>
      </c>
      <c r="C156" s="6" t="s">
        <v>314</v>
      </c>
      <c r="D156" s="56">
        <v>41122</v>
      </c>
      <c r="E156" s="262">
        <v>-3.22</v>
      </c>
      <c r="F156" s="54">
        <f t="shared" si="7"/>
        <v>2.6513400221759475E-2</v>
      </c>
      <c r="G156" s="80">
        <f t="shared" si="8"/>
        <v>-8.5373148714065511E-2</v>
      </c>
    </row>
    <row r="157" spans="1:7" x14ac:dyDescent="0.2">
      <c r="A157" s="154" t="s">
        <v>585</v>
      </c>
      <c r="B157" s="66" t="s">
        <v>186</v>
      </c>
      <c r="C157" s="6" t="s">
        <v>314</v>
      </c>
      <c r="D157" s="56">
        <v>41153</v>
      </c>
      <c r="E157" s="262">
        <v>39.01</v>
      </c>
      <c r="F157" s="54">
        <f t="shared" si="7"/>
        <v>2.6513400221759475E-2</v>
      </c>
      <c r="G157" s="80">
        <f t="shared" si="8"/>
        <v>1.034287742650837</v>
      </c>
    </row>
    <row r="158" spans="1:7" x14ac:dyDescent="0.2">
      <c r="A158" s="154" t="s">
        <v>585</v>
      </c>
      <c r="B158" s="66" t="s">
        <v>186</v>
      </c>
      <c r="C158" s="6" t="s">
        <v>314</v>
      </c>
      <c r="D158" s="56">
        <v>41183</v>
      </c>
      <c r="E158" s="262">
        <v>313.65000000000003</v>
      </c>
      <c r="F158" s="54">
        <f t="shared" si="7"/>
        <v>2.6513400221759475E-2</v>
      </c>
      <c r="G158" s="80">
        <f t="shared" si="8"/>
        <v>8.3159279795548606</v>
      </c>
    </row>
    <row r="159" spans="1:7" x14ac:dyDescent="0.2">
      <c r="A159" s="154" t="s">
        <v>585</v>
      </c>
      <c r="B159" s="66" t="s">
        <v>189</v>
      </c>
      <c r="C159" s="6" t="s">
        <v>346</v>
      </c>
      <c r="D159" s="56">
        <v>41153</v>
      </c>
      <c r="E159" s="262">
        <v>-21.16</v>
      </c>
      <c r="F159" s="54">
        <f t="shared" si="7"/>
        <v>2.6513400221759475E-2</v>
      </c>
      <c r="G159" s="80">
        <f t="shared" si="8"/>
        <v>-0.56102354869243054</v>
      </c>
    </row>
    <row r="160" spans="1:7" x14ac:dyDescent="0.2">
      <c r="A160" s="154" t="s">
        <v>586</v>
      </c>
      <c r="B160" s="66" t="s">
        <v>588</v>
      </c>
      <c r="C160" s="6" t="s">
        <v>272</v>
      </c>
      <c r="D160" s="56">
        <v>41153</v>
      </c>
      <c r="E160" s="262">
        <v>473.06</v>
      </c>
      <c r="F160" s="54">
        <f t="shared" si="7"/>
        <v>2.6513400221759475E-2</v>
      </c>
      <c r="G160" s="80">
        <f t="shared" si="8"/>
        <v>12.542429108905537</v>
      </c>
    </row>
    <row r="161" spans="1:7" x14ac:dyDescent="0.2">
      <c r="A161" s="154" t="s">
        <v>586</v>
      </c>
      <c r="B161" s="66" t="s">
        <v>191</v>
      </c>
      <c r="C161" s="6" t="s">
        <v>278</v>
      </c>
      <c r="D161" s="56">
        <v>41153</v>
      </c>
      <c r="E161" s="262">
        <v>1145.8</v>
      </c>
      <c r="F161" s="54">
        <f t="shared" si="7"/>
        <v>2.6513400221759475E-2</v>
      </c>
      <c r="G161" s="80">
        <f t="shared" si="8"/>
        <v>30.379053974092006</v>
      </c>
    </row>
    <row r="162" spans="1:7" x14ac:dyDescent="0.2">
      <c r="A162" s="154" t="s">
        <v>586</v>
      </c>
      <c r="B162" s="66" t="s">
        <v>195</v>
      </c>
      <c r="C162" s="6" t="s">
        <v>286</v>
      </c>
      <c r="D162" s="56">
        <v>41122</v>
      </c>
      <c r="E162" s="262">
        <v>141.21</v>
      </c>
      <c r="F162" s="54">
        <f t="shared" si="7"/>
        <v>2.6513400221759475E-2</v>
      </c>
      <c r="G162" s="80">
        <f t="shared" si="8"/>
        <v>3.7439572453146557</v>
      </c>
    </row>
    <row r="163" spans="1:7" x14ac:dyDescent="0.2">
      <c r="A163" s="154" t="s">
        <v>586</v>
      </c>
      <c r="B163" s="66" t="s">
        <v>195</v>
      </c>
      <c r="C163" s="6" t="s">
        <v>286</v>
      </c>
      <c r="D163" s="56">
        <v>41153</v>
      </c>
      <c r="E163" s="262">
        <v>570.64</v>
      </c>
      <c r="F163" s="54">
        <f t="shared" si="7"/>
        <v>2.6513400221759475E-2</v>
      </c>
      <c r="G163" s="80">
        <f t="shared" si="8"/>
        <v>15.129606702544827</v>
      </c>
    </row>
    <row r="164" spans="1:7" x14ac:dyDescent="0.2">
      <c r="A164" s="154" t="s">
        <v>586</v>
      </c>
      <c r="B164" s="66" t="s">
        <v>195</v>
      </c>
      <c r="C164" s="6" t="s">
        <v>286</v>
      </c>
      <c r="D164" s="56">
        <v>41183</v>
      </c>
      <c r="E164" s="262">
        <v>46.93</v>
      </c>
      <c r="F164" s="54">
        <f t="shared" si="7"/>
        <v>2.6513400221759475E-2</v>
      </c>
      <c r="G164" s="80">
        <f t="shared" si="8"/>
        <v>1.2442738724071722</v>
      </c>
    </row>
    <row r="165" spans="1:7" x14ac:dyDescent="0.2">
      <c r="A165" s="154" t="s">
        <v>586</v>
      </c>
      <c r="B165" s="66" t="s">
        <v>184</v>
      </c>
      <c r="C165" s="6" t="s">
        <v>311</v>
      </c>
      <c r="D165" s="56">
        <v>41122</v>
      </c>
      <c r="E165" s="262">
        <v>-157.71</v>
      </c>
      <c r="F165" s="54">
        <f t="shared" si="7"/>
        <v>2.6513400221759475E-2</v>
      </c>
      <c r="G165" s="80">
        <f t="shared" si="8"/>
        <v>-4.1814283489736868</v>
      </c>
    </row>
    <row r="166" spans="1:7" x14ac:dyDescent="0.2">
      <c r="A166" s="154" t="s">
        <v>586</v>
      </c>
      <c r="B166" s="66" t="s">
        <v>184</v>
      </c>
      <c r="C166" s="6" t="s">
        <v>311</v>
      </c>
      <c r="D166" s="56">
        <v>41153</v>
      </c>
      <c r="E166" s="262">
        <v>2215.27</v>
      </c>
      <c r="F166" s="54">
        <f t="shared" si="7"/>
        <v>2.6513400221759475E-2</v>
      </c>
      <c r="G166" s="80">
        <f t="shared" si="8"/>
        <v>58.734340109257111</v>
      </c>
    </row>
    <row r="167" spans="1:7" x14ac:dyDescent="0.2">
      <c r="A167" s="154" t="s">
        <v>586</v>
      </c>
      <c r="B167" s="66" t="s">
        <v>184</v>
      </c>
      <c r="C167" s="6" t="s">
        <v>311</v>
      </c>
      <c r="D167" s="56">
        <v>41183</v>
      </c>
      <c r="E167" s="262">
        <v>788.63</v>
      </c>
      <c r="F167" s="54">
        <f t="shared" si="7"/>
        <v>2.6513400221759475E-2</v>
      </c>
      <c r="G167" s="80">
        <f t="shared" si="8"/>
        <v>20.909262816886173</v>
      </c>
    </row>
    <row r="168" spans="1:7" x14ac:dyDescent="0.2">
      <c r="A168" s="154" t="s">
        <v>586</v>
      </c>
      <c r="B168" s="66" t="s">
        <v>186</v>
      </c>
      <c r="C168" s="6" t="s">
        <v>314</v>
      </c>
      <c r="D168" s="56">
        <v>41122</v>
      </c>
      <c r="E168" s="262">
        <v>-6.22</v>
      </c>
      <c r="F168" s="54">
        <f t="shared" si="7"/>
        <v>2.6513400221759475E-2</v>
      </c>
      <c r="G168" s="80">
        <f t="shared" si="8"/>
        <v>-0.16491334937934393</v>
      </c>
    </row>
    <row r="169" spans="1:7" x14ac:dyDescent="0.2">
      <c r="A169" s="154" t="s">
        <v>586</v>
      </c>
      <c r="B169" s="66" t="s">
        <v>186</v>
      </c>
      <c r="C169" s="6" t="s">
        <v>314</v>
      </c>
      <c r="D169" s="56">
        <v>41153</v>
      </c>
      <c r="E169" s="262">
        <v>75.489999999999995</v>
      </c>
      <c r="F169" s="54">
        <f t="shared" si="7"/>
        <v>2.6513400221759475E-2</v>
      </c>
      <c r="G169" s="80">
        <f t="shared" si="8"/>
        <v>2.0014965827406228</v>
      </c>
    </row>
    <row r="170" spans="1:7" x14ac:dyDescent="0.2">
      <c r="A170" s="154" t="s">
        <v>586</v>
      </c>
      <c r="B170" s="66" t="s">
        <v>186</v>
      </c>
      <c r="C170" s="6" t="s">
        <v>314</v>
      </c>
      <c r="D170" s="56">
        <v>41183</v>
      </c>
      <c r="E170" s="262">
        <v>606.85</v>
      </c>
      <c r="F170" s="54">
        <f t="shared" si="7"/>
        <v>2.6513400221759475E-2</v>
      </c>
      <c r="G170" s="80">
        <f t="shared" si="8"/>
        <v>16.089656924574737</v>
      </c>
    </row>
    <row r="171" spans="1:7" x14ac:dyDescent="0.2">
      <c r="A171" s="154" t="s">
        <v>586</v>
      </c>
      <c r="B171" s="66" t="s">
        <v>197</v>
      </c>
      <c r="C171" s="6" t="s">
        <v>315</v>
      </c>
      <c r="D171" s="56">
        <v>41122</v>
      </c>
      <c r="E171" s="262">
        <v>457.82</v>
      </c>
      <c r="F171" s="54">
        <f t="shared" si="7"/>
        <v>2.6513400221759475E-2</v>
      </c>
      <c r="G171" s="80">
        <f t="shared" si="8"/>
        <v>12.138364889525922</v>
      </c>
    </row>
    <row r="172" spans="1:7" x14ac:dyDescent="0.2">
      <c r="A172" s="154" t="s">
        <v>586</v>
      </c>
      <c r="B172" s="66" t="s">
        <v>197</v>
      </c>
      <c r="C172" s="6" t="s">
        <v>315</v>
      </c>
      <c r="D172" s="56">
        <v>41153</v>
      </c>
      <c r="E172" s="262">
        <v>-507.98</v>
      </c>
      <c r="F172" s="54">
        <f t="shared" si="7"/>
        <v>2.6513400221759475E-2</v>
      </c>
      <c r="G172" s="80">
        <f t="shared" si="8"/>
        <v>-13.468277044649378</v>
      </c>
    </row>
    <row r="173" spans="1:7" x14ac:dyDescent="0.2">
      <c r="A173" s="154" t="s">
        <v>586</v>
      </c>
      <c r="B173" s="66" t="s">
        <v>197</v>
      </c>
      <c r="C173" s="6" t="s">
        <v>315</v>
      </c>
      <c r="D173" s="56">
        <v>41183</v>
      </c>
      <c r="E173" s="262">
        <v>168.65</v>
      </c>
      <c r="F173" s="54">
        <f t="shared" si="7"/>
        <v>2.6513400221759475E-2</v>
      </c>
      <c r="G173" s="80">
        <f t="shared" si="8"/>
        <v>4.4714849473997358</v>
      </c>
    </row>
    <row r="174" spans="1:7" x14ac:dyDescent="0.2">
      <c r="A174" s="154" t="s">
        <v>586</v>
      </c>
      <c r="B174" s="66" t="s">
        <v>198</v>
      </c>
      <c r="C174" s="6" t="s">
        <v>317</v>
      </c>
      <c r="D174" s="56">
        <v>41122</v>
      </c>
      <c r="E174" s="262">
        <v>18476.66</v>
      </c>
      <c r="F174" s="54">
        <f t="shared" si="7"/>
        <v>2.6513400221759475E-2</v>
      </c>
      <c r="G174" s="80">
        <f t="shared" si="8"/>
        <v>489.87908134137439</v>
      </c>
    </row>
    <row r="175" spans="1:7" x14ac:dyDescent="0.2">
      <c r="A175" s="154" t="s">
        <v>586</v>
      </c>
      <c r="B175" s="66" t="s">
        <v>198</v>
      </c>
      <c r="C175" s="6" t="s">
        <v>317</v>
      </c>
      <c r="D175" s="56">
        <v>41153</v>
      </c>
      <c r="E175" s="262">
        <v>3844.59</v>
      </c>
      <c r="F175" s="54">
        <f t="shared" si="7"/>
        <v>2.6513400221759475E-2</v>
      </c>
      <c r="G175" s="80">
        <f t="shared" si="8"/>
        <v>101.93315335857426</v>
      </c>
    </row>
    <row r="176" spans="1:7" x14ac:dyDescent="0.2">
      <c r="A176" s="154" t="s">
        <v>586</v>
      </c>
      <c r="B176" s="66" t="s">
        <v>198</v>
      </c>
      <c r="C176" s="6" t="s">
        <v>317</v>
      </c>
      <c r="D176" s="56">
        <v>41183</v>
      </c>
      <c r="E176" s="262">
        <v>8757.66</v>
      </c>
      <c r="F176" s="54">
        <f t="shared" si="7"/>
        <v>2.6513400221759475E-2</v>
      </c>
      <c r="G176" s="80">
        <f t="shared" si="8"/>
        <v>232.19534458609408</v>
      </c>
    </row>
    <row r="177" spans="1:7" x14ac:dyDescent="0.2">
      <c r="A177" s="154" t="s">
        <v>586</v>
      </c>
      <c r="B177" s="66" t="s">
        <v>199</v>
      </c>
      <c r="C177" s="6" t="s">
        <v>319</v>
      </c>
      <c r="D177" s="56">
        <v>41122</v>
      </c>
      <c r="E177" s="262">
        <v>298.90000000000003</v>
      </c>
      <c r="F177" s="54">
        <f t="shared" si="7"/>
        <v>2.6513400221759475E-2</v>
      </c>
      <c r="G177" s="80">
        <f t="shared" si="8"/>
        <v>7.9248553262839083</v>
      </c>
    </row>
    <row r="178" spans="1:7" x14ac:dyDescent="0.2">
      <c r="A178" s="154" t="s">
        <v>586</v>
      </c>
      <c r="B178" s="66" t="s">
        <v>199</v>
      </c>
      <c r="C178" s="6" t="s">
        <v>319</v>
      </c>
      <c r="D178" s="56">
        <v>41153</v>
      </c>
      <c r="E178" s="262">
        <v>-905.08</v>
      </c>
      <c r="F178" s="54">
        <f t="shared" si="7"/>
        <v>2.6513400221759475E-2</v>
      </c>
      <c r="G178" s="80">
        <f t="shared" si="8"/>
        <v>-23.996748272710068</v>
      </c>
    </row>
    <row r="179" spans="1:7" x14ac:dyDescent="0.2">
      <c r="A179" s="154" t="s">
        <v>586</v>
      </c>
      <c r="B179" s="66" t="s">
        <v>199</v>
      </c>
      <c r="C179" s="6" t="s">
        <v>319</v>
      </c>
      <c r="D179" s="56">
        <v>41183</v>
      </c>
      <c r="E179" s="262">
        <v>160.26</v>
      </c>
      <c r="F179" s="54">
        <f t="shared" si="7"/>
        <v>2.6513400221759475E-2</v>
      </c>
      <c r="G179" s="80">
        <f t="shared" si="8"/>
        <v>4.249037519539173</v>
      </c>
    </row>
    <row r="180" spans="1:7" x14ac:dyDescent="0.2">
      <c r="A180" s="154" t="s">
        <v>586</v>
      </c>
      <c r="B180" s="66" t="s">
        <v>200</v>
      </c>
      <c r="C180" s="6" t="s">
        <v>320</v>
      </c>
      <c r="D180" s="56">
        <v>41183</v>
      </c>
      <c r="E180" s="262">
        <v>0</v>
      </c>
      <c r="F180" s="54">
        <f t="shared" si="7"/>
        <v>2.6513400221759475E-2</v>
      </c>
      <c r="G180" s="80">
        <f t="shared" si="8"/>
        <v>0</v>
      </c>
    </row>
    <row r="181" spans="1:7" x14ac:dyDescent="0.2">
      <c r="A181" s="154" t="s">
        <v>587</v>
      </c>
      <c r="B181" s="66" t="s">
        <v>589</v>
      </c>
      <c r="C181" s="6" t="s">
        <v>266</v>
      </c>
      <c r="D181" s="56">
        <v>41153</v>
      </c>
      <c r="E181" s="262">
        <v>733.96</v>
      </c>
      <c r="F181" s="54">
        <f t="shared" si="7"/>
        <v>2.6513400221759475E-2</v>
      </c>
      <c r="G181" s="80">
        <f t="shared" si="8"/>
        <v>19.459775226762584</v>
      </c>
    </row>
    <row r="182" spans="1:7" x14ac:dyDescent="0.2">
      <c r="A182" s="154" t="s">
        <v>587</v>
      </c>
      <c r="B182" s="66" t="s">
        <v>590</v>
      </c>
      <c r="C182" s="6" t="s">
        <v>270</v>
      </c>
      <c r="D182" s="56">
        <v>41153</v>
      </c>
      <c r="E182" s="262">
        <v>2217.81</v>
      </c>
      <c r="F182" s="54">
        <f t="shared" si="7"/>
        <v>2.6513400221759475E-2</v>
      </c>
      <c r="G182" s="80">
        <f t="shared" si="8"/>
        <v>58.801684145820381</v>
      </c>
    </row>
    <row r="183" spans="1:7" x14ac:dyDescent="0.2">
      <c r="A183" s="154" t="s">
        <v>587</v>
      </c>
      <c r="B183" s="66" t="s">
        <v>588</v>
      </c>
      <c r="C183" s="6" t="s">
        <v>272</v>
      </c>
      <c r="D183" s="56">
        <v>41153</v>
      </c>
      <c r="E183" s="262">
        <v>1605.58</v>
      </c>
      <c r="F183" s="54">
        <f t="shared" ref="F183:F209" si="9">$B$10</f>
        <v>2.6513400221759475E-2</v>
      </c>
      <c r="G183" s="80">
        <f t="shared" si="4"/>
        <v>42.569385128052573</v>
      </c>
    </row>
    <row r="184" spans="1:7" x14ac:dyDescent="0.2">
      <c r="A184" s="154" t="s">
        <v>587</v>
      </c>
      <c r="B184" s="66" t="s">
        <v>591</v>
      </c>
      <c r="C184" s="6" t="s">
        <v>273</v>
      </c>
      <c r="D184" s="56">
        <v>41153</v>
      </c>
      <c r="E184" s="262">
        <v>2460.71</v>
      </c>
      <c r="F184" s="54">
        <f t="shared" si="9"/>
        <v>2.6513400221759475E-2</v>
      </c>
      <c r="G184" s="80">
        <f t="shared" si="4"/>
        <v>65.241789059685757</v>
      </c>
    </row>
    <row r="185" spans="1:7" x14ac:dyDescent="0.2">
      <c r="A185" s="154" t="s">
        <v>587</v>
      </c>
      <c r="B185" s="66" t="s">
        <v>193</v>
      </c>
      <c r="C185" s="6" t="s">
        <v>281</v>
      </c>
      <c r="D185" s="56">
        <v>41153</v>
      </c>
      <c r="E185" s="262">
        <v>3238.7000000000003</v>
      </c>
      <c r="F185" s="54">
        <f t="shared" si="9"/>
        <v>2.6513400221759475E-2</v>
      </c>
      <c r="G185" s="80">
        <f t="shared" si="4"/>
        <v>85.868949298212414</v>
      </c>
    </row>
    <row r="186" spans="1:7" x14ac:dyDescent="0.2">
      <c r="A186" s="154" t="s">
        <v>587</v>
      </c>
      <c r="B186" s="66" t="s">
        <v>194</v>
      </c>
      <c r="C186" s="6" t="s">
        <v>284</v>
      </c>
      <c r="D186" s="56">
        <v>41122</v>
      </c>
      <c r="E186" s="262">
        <v>1694.79</v>
      </c>
      <c r="F186" s="54">
        <f t="shared" si="9"/>
        <v>2.6513400221759475E-2</v>
      </c>
      <c r="G186" s="80">
        <f t="shared" si="4"/>
        <v>44.934645561835737</v>
      </c>
    </row>
    <row r="187" spans="1:7" x14ac:dyDescent="0.2">
      <c r="A187" s="154" t="s">
        <v>587</v>
      </c>
      <c r="B187" s="66" t="s">
        <v>194</v>
      </c>
      <c r="C187" s="6" t="s">
        <v>284</v>
      </c>
      <c r="D187" s="56">
        <v>41153</v>
      </c>
      <c r="E187" s="262">
        <v>1403.69</v>
      </c>
      <c r="F187" s="54">
        <f t="shared" si="9"/>
        <v>2.6513400221759475E-2</v>
      </c>
      <c r="G187" s="80">
        <f t="shared" si="4"/>
        <v>37.216594757281555</v>
      </c>
    </row>
    <row r="188" spans="1:7" x14ac:dyDescent="0.2">
      <c r="A188" s="154" t="s">
        <v>587</v>
      </c>
      <c r="B188" s="66" t="s">
        <v>194</v>
      </c>
      <c r="C188" s="6" t="s">
        <v>284</v>
      </c>
      <c r="D188" s="56">
        <v>41183</v>
      </c>
      <c r="E188" s="262">
        <v>1287.57</v>
      </c>
      <c r="F188" s="54">
        <f t="shared" si="9"/>
        <v>2.6513400221759475E-2</v>
      </c>
      <c r="G188" s="80">
        <f t="shared" si="4"/>
        <v>34.137858723530847</v>
      </c>
    </row>
    <row r="189" spans="1:7" x14ac:dyDescent="0.2">
      <c r="A189" s="154" t="s">
        <v>587</v>
      </c>
      <c r="B189" s="66" t="s">
        <v>195</v>
      </c>
      <c r="C189" s="6" t="s">
        <v>286</v>
      </c>
      <c r="D189" s="56">
        <v>41122</v>
      </c>
      <c r="E189" s="262">
        <v>268.48</v>
      </c>
      <c r="F189" s="54">
        <f t="shared" si="9"/>
        <v>2.6513400221759475E-2</v>
      </c>
      <c r="G189" s="80">
        <f t="shared" si="4"/>
        <v>7.1183176915379844</v>
      </c>
    </row>
    <row r="190" spans="1:7" x14ac:dyDescent="0.2">
      <c r="A190" s="154" t="s">
        <v>587</v>
      </c>
      <c r="B190" s="153" t="s">
        <v>195</v>
      </c>
      <c r="C190" s="6" t="s">
        <v>286</v>
      </c>
      <c r="D190" s="56">
        <v>41153</v>
      </c>
      <c r="E190" s="262">
        <v>1084.92</v>
      </c>
      <c r="F190" s="54">
        <f t="shared" si="9"/>
        <v>2.6513400221759475E-2</v>
      </c>
      <c r="G190" s="80">
        <f t="shared" si="4"/>
        <v>28.76491816859129</v>
      </c>
    </row>
    <row r="191" spans="1:7" x14ac:dyDescent="0.2">
      <c r="A191" s="154" t="s">
        <v>587</v>
      </c>
      <c r="B191" s="153" t="s">
        <v>195</v>
      </c>
      <c r="C191" s="6" t="s">
        <v>286</v>
      </c>
      <c r="D191" s="56">
        <v>41183</v>
      </c>
      <c r="E191" s="262">
        <v>89.25</v>
      </c>
      <c r="F191" s="54">
        <f t="shared" si="9"/>
        <v>2.6513400221759475E-2</v>
      </c>
      <c r="G191" s="80">
        <f t="shared" si="4"/>
        <v>2.3663209697920333</v>
      </c>
    </row>
    <row r="192" spans="1:7" x14ac:dyDescent="0.2">
      <c r="A192" s="154" t="s">
        <v>587</v>
      </c>
      <c r="B192" s="153" t="s">
        <v>196</v>
      </c>
      <c r="C192" s="6" t="s">
        <v>287</v>
      </c>
      <c r="D192" s="56">
        <v>41122</v>
      </c>
      <c r="E192" s="262">
        <v>466.93</v>
      </c>
      <c r="F192" s="54">
        <f t="shared" si="9"/>
        <v>2.6513400221759475E-2</v>
      </c>
      <c r="G192" s="80">
        <f t="shared" ref="G192:G207" si="10">E192*F192</f>
        <v>12.379901965546152</v>
      </c>
    </row>
    <row r="193" spans="1:7" x14ac:dyDescent="0.2">
      <c r="A193" s="154" t="s">
        <v>587</v>
      </c>
      <c r="B193" s="153" t="s">
        <v>196</v>
      </c>
      <c r="C193" s="6" t="s">
        <v>287</v>
      </c>
      <c r="D193" s="56">
        <v>41153</v>
      </c>
      <c r="E193" s="262">
        <v>4984.49</v>
      </c>
      <c r="F193" s="54">
        <f t="shared" si="9"/>
        <v>2.6513400221759475E-2</v>
      </c>
      <c r="G193" s="80">
        <f t="shared" si="10"/>
        <v>132.15577827135789</v>
      </c>
    </row>
    <row r="194" spans="1:7" x14ac:dyDescent="0.2">
      <c r="A194" s="154" t="s">
        <v>587</v>
      </c>
      <c r="B194" s="153" t="s">
        <v>196</v>
      </c>
      <c r="C194" s="6" t="s">
        <v>287</v>
      </c>
      <c r="D194" s="56">
        <v>41183</v>
      </c>
      <c r="E194" s="262">
        <v>-1060.4100000000001</v>
      </c>
      <c r="F194" s="54">
        <f t="shared" si="9"/>
        <v>2.6513400221759475E-2</v>
      </c>
      <c r="G194" s="80">
        <f t="shared" si="10"/>
        <v>-28.115074729155968</v>
      </c>
    </row>
    <row r="195" spans="1:7" x14ac:dyDescent="0.2">
      <c r="A195" s="154" t="s">
        <v>587</v>
      </c>
      <c r="B195" s="155" t="s">
        <v>197</v>
      </c>
      <c r="C195" s="6" t="s">
        <v>315</v>
      </c>
      <c r="D195" s="56">
        <v>41122</v>
      </c>
      <c r="E195" s="262">
        <v>457.83</v>
      </c>
      <c r="F195" s="54">
        <f t="shared" si="9"/>
        <v>2.6513400221759475E-2</v>
      </c>
      <c r="G195" s="80">
        <f t="shared" si="10"/>
        <v>12.13863002352814</v>
      </c>
    </row>
    <row r="196" spans="1:7" x14ac:dyDescent="0.2">
      <c r="A196" s="154" t="s">
        <v>587</v>
      </c>
      <c r="B196" s="155" t="s">
        <v>197</v>
      </c>
      <c r="C196" s="6" t="s">
        <v>315</v>
      </c>
      <c r="D196" s="56">
        <v>41153</v>
      </c>
      <c r="E196" s="266">
        <v>-507.96000000000004</v>
      </c>
      <c r="F196" s="54">
        <f t="shared" si="9"/>
        <v>2.6513400221759475E-2</v>
      </c>
      <c r="G196" s="80">
        <f t="shared" si="10"/>
        <v>-13.467746776644944</v>
      </c>
    </row>
    <row r="197" spans="1:7" x14ac:dyDescent="0.2">
      <c r="A197" s="154" t="s">
        <v>587</v>
      </c>
      <c r="B197" s="153" t="s">
        <v>197</v>
      </c>
      <c r="C197" s="6" t="s">
        <v>315</v>
      </c>
      <c r="D197" s="56">
        <v>41183</v>
      </c>
      <c r="E197" s="266">
        <v>168.66</v>
      </c>
      <c r="F197" s="54">
        <f t="shared" si="9"/>
        <v>2.6513400221759475E-2</v>
      </c>
      <c r="G197" s="80">
        <f t="shared" si="10"/>
        <v>4.4717500814019528</v>
      </c>
    </row>
    <row r="198" spans="1:7" x14ac:dyDescent="0.2">
      <c r="A198" s="154" t="s">
        <v>587</v>
      </c>
      <c r="B198" s="153" t="s">
        <v>198</v>
      </c>
      <c r="C198" s="6" t="s">
        <v>317</v>
      </c>
      <c r="D198" s="56">
        <v>41153</v>
      </c>
      <c r="E198" s="266">
        <v>771.73</v>
      </c>
      <c r="F198" s="54">
        <f t="shared" si="9"/>
        <v>2.6513400221759475E-2</v>
      </c>
      <c r="G198" s="80">
        <f t="shared" si="10"/>
        <v>20.461186353138441</v>
      </c>
    </row>
    <row r="199" spans="1:7" x14ac:dyDescent="0.2">
      <c r="A199" s="154" t="s">
        <v>587</v>
      </c>
      <c r="B199" s="153" t="s">
        <v>199</v>
      </c>
      <c r="C199" s="6" t="s">
        <v>319</v>
      </c>
      <c r="D199" s="56">
        <v>41122</v>
      </c>
      <c r="E199" s="266">
        <v>149.45000000000002</v>
      </c>
      <c r="F199" s="54">
        <f t="shared" si="9"/>
        <v>2.6513400221759475E-2</v>
      </c>
      <c r="G199" s="80">
        <f t="shared" si="10"/>
        <v>3.9624276631419542</v>
      </c>
    </row>
    <row r="200" spans="1:7" x14ac:dyDescent="0.2">
      <c r="A200" s="154" t="s">
        <v>587</v>
      </c>
      <c r="B200" s="155" t="s">
        <v>199</v>
      </c>
      <c r="C200" s="6" t="s">
        <v>319</v>
      </c>
      <c r="D200" s="56">
        <v>41153</v>
      </c>
      <c r="E200" s="266">
        <v>-452.54</v>
      </c>
      <c r="F200" s="54">
        <f t="shared" si="9"/>
        <v>2.6513400221759475E-2</v>
      </c>
      <c r="G200" s="80">
        <f t="shared" si="10"/>
        <v>-11.998374136355034</v>
      </c>
    </row>
    <row r="201" spans="1:7" x14ac:dyDescent="0.2">
      <c r="A201" s="154" t="s">
        <v>587</v>
      </c>
      <c r="B201" s="66" t="s">
        <v>199</v>
      </c>
      <c r="C201" s="6" t="s">
        <v>319</v>
      </c>
      <c r="D201" s="56">
        <v>41183</v>
      </c>
      <c r="E201" s="262">
        <v>80.16</v>
      </c>
      <c r="F201" s="54">
        <f t="shared" si="9"/>
        <v>2.6513400221759475E-2</v>
      </c>
      <c r="G201" s="80">
        <f t="shared" si="10"/>
        <v>2.1253141617762394</v>
      </c>
    </row>
    <row r="202" spans="1:7" x14ac:dyDescent="0.2">
      <c r="A202" s="154" t="s">
        <v>587</v>
      </c>
      <c r="B202" s="66" t="s">
        <v>200</v>
      </c>
      <c r="C202" s="6" t="s">
        <v>320</v>
      </c>
      <c r="D202" s="56">
        <v>41153</v>
      </c>
      <c r="E202" s="262">
        <v>8369</v>
      </c>
      <c r="F202" s="54">
        <f t="shared" si="9"/>
        <v>2.6513400221759475E-2</v>
      </c>
      <c r="G202" s="80">
        <f t="shared" si="10"/>
        <v>221.89064645590506</v>
      </c>
    </row>
    <row r="203" spans="1:7" x14ac:dyDescent="0.2">
      <c r="A203" s="154" t="s">
        <v>587</v>
      </c>
      <c r="B203" s="66" t="s">
        <v>200</v>
      </c>
      <c r="C203" s="6" t="s">
        <v>320</v>
      </c>
      <c r="D203" s="56">
        <v>41183</v>
      </c>
      <c r="E203" s="262">
        <v>1235.8399999999999</v>
      </c>
      <c r="F203" s="54">
        <f t="shared" si="9"/>
        <v>2.6513400221759475E-2</v>
      </c>
      <c r="G203" s="80">
        <f t="shared" si="10"/>
        <v>32.766320530059225</v>
      </c>
    </row>
    <row r="204" spans="1:7" x14ac:dyDescent="0.2">
      <c r="A204" s="154" t="s">
        <v>587</v>
      </c>
      <c r="B204" s="66" t="s">
        <v>592</v>
      </c>
      <c r="C204" s="6" t="s">
        <v>560</v>
      </c>
      <c r="D204" s="56">
        <v>41153</v>
      </c>
      <c r="E204" s="262">
        <v>-1373.28</v>
      </c>
      <c r="F204" s="54">
        <f t="shared" si="9"/>
        <v>2.6513400221759475E-2</v>
      </c>
      <c r="G204" s="80">
        <f t="shared" si="10"/>
        <v>-36.410322256537853</v>
      </c>
    </row>
    <row r="205" spans="1:7" x14ac:dyDescent="0.2">
      <c r="A205" s="154" t="s">
        <v>587</v>
      </c>
      <c r="B205" s="66" t="s">
        <v>189</v>
      </c>
      <c r="C205" s="6" t="s">
        <v>346</v>
      </c>
      <c r="D205" s="56">
        <v>41122</v>
      </c>
      <c r="E205" s="262">
        <v>-15.73</v>
      </c>
      <c r="F205" s="54">
        <f t="shared" si="9"/>
        <v>2.6513400221759475E-2</v>
      </c>
      <c r="G205" s="80">
        <f t="shared" si="10"/>
        <v>-0.41705578548827654</v>
      </c>
    </row>
    <row r="206" spans="1:7" x14ac:dyDescent="0.2">
      <c r="A206" s="154" t="s">
        <v>587</v>
      </c>
      <c r="B206" s="66" t="s">
        <v>567</v>
      </c>
      <c r="C206" s="6" t="s">
        <v>557</v>
      </c>
      <c r="D206" s="56">
        <v>41122</v>
      </c>
      <c r="E206" s="262">
        <v>-12.56</v>
      </c>
      <c r="F206" s="54">
        <f t="shared" si="9"/>
        <v>2.6513400221759475E-2</v>
      </c>
      <c r="G206" s="80">
        <f t="shared" si="10"/>
        <v>-0.33300830678529902</v>
      </c>
    </row>
    <row r="207" spans="1:7" x14ac:dyDescent="0.2">
      <c r="A207" s="154" t="s">
        <v>587</v>
      </c>
      <c r="B207" s="66" t="s">
        <v>567</v>
      </c>
      <c r="C207" s="6" t="s">
        <v>557</v>
      </c>
      <c r="D207" s="56">
        <v>41153</v>
      </c>
      <c r="E207" s="262">
        <v>-16.89</v>
      </c>
      <c r="F207" s="54">
        <f t="shared" si="9"/>
        <v>2.6513400221759475E-2</v>
      </c>
      <c r="G207" s="80">
        <f t="shared" si="10"/>
        <v>-0.44781132974551757</v>
      </c>
    </row>
    <row r="208" spans="1:7" x14ac:dyDescent="0.2">
      <c r="A208" s="154" t="s">
        <v>587</v>
      </c>
      <c r="B208" s="66" t="s">
        <v>593</v>
      </c>
      <c r="C208" s="6" t="s">
        <v>559</v>
      </c>
      <c r="D208" s="56">
        <v>41183</v>
      </c>
      <c r="E208" s="262">
        <v>1373.28</v>
      </c>
      <c r="F208" s="54">
        <f t="shared" si="9"/>
        <v>2.6513400221759475E-2</v>
      </c>
      <c r="G208" s="80">
        <f t="shared" ref="G208:G209" si="11">E208*F208</f>
        <v>36.410322256537853</v>
      </c>
    </row>
    <row r="209" spans="1:7" x14ac:dyDescent="0.2">
      <c r="A209" s="154" t="s">
        <v>587</v>
      </c>
      <c r="B209" s="190" t="s">
        <v>594</v>
      </c>
      <c r="C209" s="6" t="s">
        <v>558</v>
      </c>
      <c r="D209" s="56">
        <v>41183</v>
      </c>
      <c r="E209" s="167">
        <v>-19.86</v>
      </c>
      <c r="F209" s="54">
        <f t="shared" si="9"/>
        <v>2.6513400221759475E-2</v>
      </c>
      <c r="G209" s="80">
        <f t="shared" si="11"/>
        <v>-0.52655612840414312</v>
      </c>
    </row>
    <row r="210" spans="1:7" x14ac:dyDescent="0.2">
      <c r="A210" s="79"/>
      <c r="B210" s="79"/>
      <c r="C210" s="79"/>
      <c r="D210" s="82"/>
      <c r="E210" s="83"/>
    </row>
    <row r="211" spans="1:7" ht="13.5" thickBot="1" x14ac:dyDescent="0.25">
      <c r="A211" s="79"/>
      <c r="B211" s="79"/>
      <c r="C211" s="12" t="s">
        <v>27</v>
      </c>
      <c r="D211" s="82"/>
      <c r="E211" s="265">
        <f>SUM(E58:E209)</f>
        <v>375623.61000000034</v>
      </c>
      <c r="G211" s="84">
        <f>SUM(G58:G209)</f>
        <v>9959.0591046720929</v>
      </c>
    </row>
    <row r="212" spans="1:7" ht="13.5" thickTop="1" x14ac:dyDescent="0.2">
      <c r="A212" s="79"/>
      <c r="B212" s="79"/>
      <c r="C212" s="12"/>
      <c r="D212" s="82"/>
      <c r="E212" s="83"/>
    </row>
    <row r="213" spans="1:7" x14ac:dyDescent="0.2">
      <c r="A213" s="79"/>
      <c r="B213" s="79"/>
      <c r="C213" s="79"/>
      <c r="D213" s="82"/>
      <c r="E213" s="83"/>
    </row>
    <row r="214" spans="1:7" x14ac:dyDescent="0.2">
      <c r="A214" s="2" t="s">
        <v>28</v>
      </c>
      <c r="B214" s="79"/>
      <c r="C214" s="79"/>
      <c r="D214" s="82"/>
      <c r="E214" s="83"/>
    </row>
    <row r="215" spans="1:7" x14ac:dyDescent="0.2">
      <c r="A215" s="79"/>
      <c r="B215" s="79"/>
      <c r="C215" s="79"/>
      <c r="D215" s="82"/>
      <c r="E215" s="83"/>
    </row>
    <row r="216" spans="1:7" x14ac:dyDescent="0.2">
      <c r="A216" s="154">
        <v>37600</v>
      </c>
      <c r="B216" s="190" t="s">
        <v>491</v>
      </c>
      <c r="C216" s="6" t="s">
        <v>382</v>
      </c>
      <c r="D216" s="56">
        <v>41297</v>
      </c>
      <c r="E216" s="167">
        <v>708.20999999999981</v>
      </c>
      <c r="F216" s="86">
        <f>$B$8</f>
        <v>5.8577645403926841E-2</v>
      </c>
      <c r="G216" s="87">
        <f t="shared" ref="G216" si="12">E216*F216</f>
        <v>41.485274251515015</v>
      </c>
    </row>
    <row r="217" spans="1:7" x14ac:dyDescent="0.2">
      <c r="A217" s="154">
        <v>37600</v>
      </c>
      <c r="B217" s="190" t="s">
        <v>492</v>
      </c>
      <c r="C217" s="6" t="s">
        <v>380</v>
      </c>
      <c r="D217" s="56">
        <v>41297</v>
      </c>
      <c r="E217" s="167">
        <v>164.10000000000002</v>
      </c>
      <c r="F217" s="86">
        <f t="shared" ref="F217:F280" si="13">$B$8</f>
        <v>5.8577645403926841E-2</v>
      </c>
      <c r="G217" s="87">
        <f t="shared" ref="G217:G280" si="14">E217*F217</f>
        <v>9.6125916107843956</v>
      </c>
    </row>
    <row r="218" spans="1:7" x14ac:dyDescent="0.2">
      <c r="A218" s="154">
        <v>37600</v>
      </c>
      <c r="B218" s="190" t="s">
        <v>493</v>
      </c>
      <c r="C218" s="6" t="s">
        <v>397</v>
      </c>
      <c r="D218" s="56">
        <v>41275</v>
      </c>
      <c r="E218" s="167">
        <v>337.19</v>
      </c>
      <c r="F218" s="86">
        <f t="shared" si="13"/>
        <v>5.8577645403926841E-2</v>
      </c>
      <c r="G218" s="87">
        <f t="shared" si="14"/>
        <v>19.75179625375009</v>
      </c>
    </row>
    <row r="219" spans="1:7" x14ac:dyDescent="0.2">
      <c r="A219" s="154">
        <v>37600</v>
      </c>
      <c r="B219" s="190" t="s">
        <v>494</v>
      </c>
      <c r="C219" s="6" t="s">
        <v>382</v>
      </c>
      <c r="D219" s="56">
        <v>41379</v>
      </c>
      <c r="E219" s="167">
        <v>2502.29</v>
      </c>
      <c r="F219" s="86">
        <f t="shared" si="13"/>
        <v>5.8577645403926841E-2</v>
      </c>
      <c r="G219" s="87">
        <f t="shared" si="14"/>
        <v>146.5782563177921</v>
      </c>
    </row>
    <row r="220" spans="1:7" x14ac:dyDescent="0.2">
      <c r="A220" s="154">
        <v>37600</v>
      </c>
      <c r="B220" s="190" t="s">
        <v>495</v>
      </c>
      <c r="C220" s="6" t="s">
        <v>380</v>
      </c>
      <c r="D220" s="56">
        <v>41379</v>
      </c>
      <c r="E220" s="167">
        <v>41.45</v>
      </c>
      <c r="F220" s="86">
        <f t="shared" si="13"/>
        <v>5.8577645403926841E-2</v>
      </c>
      <c r="G220" s="87">
        <f t="shared" si="14"/>
        <v>2.4280434019927677</v>
      </c>
    </row>
    <row r="221" spans="1:7" x14ac:dyDescent="0.2">
      <c r="A221" s="154">
        <v>37600</v>
      </c>
      <c r="B221" s="190" t="s">
        <v>496</v>
      </c>
      <c r="C221" s="6" t="s">
        <v>383</v>
      </c>
      <c r="D221" s="56">
        <v>41379</v>
      </c>
      <c r="E221" s="167">
        <v>720.8900000000001</v>
      </c>
      <c r="F221" s="86">
        <f t="shared" si="13"/>
        <v>5.8577645403926841E-2</v>
      </c>
      <c r="G221" s="87">
        <f t="shared" si="14"/>
        <v>42.228038795236827</v>
      </c>
    </row>
    <row r="222" spans="1:7" x14ac:dyDescent="0.2">
      <c r="A222" s="154">
        <v>37600</v>
      </c>
      <c r="B222" s="190" t="s">
        <v>497</v>
      </c>
      <c r="C222" s="6" t="s">
        <v>397</v>
      </c>
      <c r="D222" s="56">
        <v>41379</v>
      </c>
      <c r="E222" s="167">
        <v>11895.81</v>
      </c>
      <c r="F222" s="86">
        <f t="shared" si="13"/>
        <v>5.8577645403926841E-2</v>
      </c>
      <c r="G222" s="87">
        <f t="shared" si="14"/>
        <v>696.82853997248696</v>
      </c>
    </row>
    <row r="223" spans="1:7" x14ac:dyDescent="0.2">
      <c r="A223" s="154">
        <v>37600</v>
      </c>
      <c r="B223" s="190" t="s">
        <v>498</v>
      </c>
      <c r="C223" s="6" t="s">
        <v>382</v>
      </c>
      <c r="D223" s="56">
        <v>41428</v>
      </c>
      <c r="E223" s="167">
        <v>5613.8499999999985</v>
      </c>
      <c r="F223" s="86">
        <f t="shared" si="13"/>
        <v>5.8577645403926841E-2</v>
      </c>
      <c r="G223" s="87">
        <f t="shared" si="14"/>
        <v>328.84611465083464</v>
      </c>
    </row>
    <row r="224" spans="1:7" x14ac:dyDescent="0.2">
      <c r="A224" s="154">
        <v>37600</v>
      </c>
      <c r="B224" s="190" t="s">
        <v>499</v>
      </c>
      <c r="C224" s="6" t="s">
        <v>380</v>
      </c>
      <c r="D224" s="56">
        <v>41428</v>
      </c>
      <c r="E224" s="167">
        <v>841.99</v>
      </c>
      <c r="F224" s="86">
        <f t="shared" si="13"/>
        <v>5.8577645403926841E-2</v>
      </c>
      <c r="G224" s="87">
        <f t="shared" si="14"/>
        <v>49.321791653652362</v>
      </c>
    </row>
    <row r="225" spans="1:7" x14ac:dyDescent="0.2">
      <c r="A225" s="154">
        <v>37600</v>
      </c>
      <c r="B225" s="190" t="s">
        <v>500</v>
      </c>
      <c r="C225" s="6" t="s">
        <v>383</v>
      </c>
      <c r="D225" s="56">
        <v>41428</v>
      </c>
      <c r="E225" s="167">
        <v>200.51000000000002</v>
      </c>
      <c r="F225" s="86">
        <f t="shared" si="13"/>
        <v>5.8577645403926841E-2</v>
      </c>
      <c r="G225" s="87">
        <f t="shared" si="14"/>
        <v>11.745403679941372</v>
      </c>
    </row>
    <row r="226" spans="1:7" x14ac:dyDescent="0.2">
      <c r="A226" s="154">
        <v>37600</v>
      </c>
      <c r="B226" s="190" t="s">
        <v>501</v>
      </c>
      <c r="C226" s="6" t="s">
        <v>397</v>
      </c>
      <c r="D226" s="56">
        <v>41428</v>
      </c>
      <c r="E226" s="167">
        <v>4599.1500000000005</v>
      </c>
      <c r="F226" s="86">
        <f t="shared" si="13"/>
        <v>5.8577645403926841E-2</v>
      </c>
      <c r="G226" s="87">
        <f t="shared" si="14"/>
        <v>269.40737785947016</v>
      </c>
    </row>
    <row r="227" spans="1:7" x14ac:dyDescent="0.2">
      <c r="A227" s="154">
        <v>37600</v>
      </c>
      <c r="B227" s="190" t="s">
        <v>502</v>
      </c>
      <c r="C227" s="6" t="s">
        <v>382</v>
      </c>
      <c r="D227" s="56">
        <v>41297</v>
      </c>
      <c r="E227" s="167">
        <v>1616.6999999999998</v>
      </c>
      <c r="F227" s="86">
        <f t="shared" si="13"/>
        <v>5.8577645403926841E-2</v>
      </c>
      <c r="G227" s="87">
        <f t="shared" si="14"/>
        <v>94.702479324528511</v>
      </c>
    </row>
    <row r="228" spans="1:7" x14ac:dyDescent="0.2">
      <c r="A228" s="154">
        <v>37600</v>
      </c>
      <c r="B228" s="190" t="s">
        <v>503</v>
      </c>
      <c r="C228" s="6" t="s">
        <v>380</v>
      </c>
      <c r="D228" s="56">
        <v>41297</v>
      </c>
      <c r="E228" s="167">
        <v>3853.7100000000014</v>
      </c>
      <c r="F228" s="86">
        <f t="shared" si="13"/>
        <v>5.8577645403926841E-2</v>
      </c>
      <c r="G228" s="87">
        <f t="shared" si="14"/>
        <v>225.74125786956699</v>
      </c>
    </row>
    <row r="229" spans="1:7" x14ac:dyDescent="0.2">
      <c r="A229" s="154">
        <v>37600</v>
      </c>
      <c r="B229" s="190" t="s">
        <v>504</v>
      </c>
      <c r="C229" s="6" t="s">
        <v>383</v>
      </c>
      <c r="D229" s="56">
        <v>41297</v>
      </c>
      <c r="E229" s="167">
        <v>100.06000000000003</v>
      </c>
      <c r="F229" s="86">
        <f t="shared" si="13"/>
        <v>5.8577645403926841E-2</v>
      </c>
      <c r="G229" s="87">
        <f t="shared" si="14"/>
        <v>5.8612791991169217</v>
      </c>
    </row>
    <row r="230" spans="1:7" x14ac:dyDescent="0.2">
      <c r="A230" s="154">
        <v>37600</v>
      </c>
      <c r="B230" s="190" t="s">
        <v>505</v>
      </c>
      <c r="C230" s="6" t="s">
        <v>397</v>
      </c>
      <c r="D230" s="56">
        <v>41297</v>
      </c>
      <c r="E230" s="167">
        <v>648.19000000000005</v>
      </c>
      <c r="F230" s="86">
        <f t="shared" si="13"/>
        <v>5.8577645403926841E-2</v>
      </c>
      <c r="G230" s="87">
        <f t="shared" si="14"/>
        <v>37.969443974371345</v>
      </c>
    </row>
    <row r="231" spans="1:7" x14ac:dyDescent="0.2">
      <c r="A231" s="154">
        <v>37600</v>
      </c>
      <c r="B231" s="190" t="s">
        <v>506</v>
      </c>
      <c r="C231" s="6" t="s">
        <v>382</v>
      </c>
      <c r="D231" s="56">
        <v>41379</v>
      </c>
      <c r="E231" s="167">
        <v>6264.1199999999981</v>
      </c>
      <c r="F231" s="86">
        <f t="shared" si="13"/>
        <v>5.8577645403926841E-2</v>
      </c>
      <c r="G231" s="87">
        <f t="shared" si="14"/>
        <v>366.93740012764607</v>
      </c>
    </row>
    <row r="232" spans="1:7" x14ac:dyDescent="0.2">
      <c r="A232" s="154">
        <v>37600</v>
      </c>
      <c r="B232" s="190" t="s">
        <v>507</v>
      </c>
      <c r="C232" s="6" t="s">
        <v>380</v>
      </c>
      <c r="D232" s="56">
        <v>41379</v>
      </c>
      <c r="E232" s="167">
        <v>15263.860000000002</v>
      </c>
      <c r="F232" s="86">
        <f t="shared" si="13"/>
        <v>5.8577645403926841E-2</v>
      </c>
      <c r="G232" s="87">
        <f t="shared" si="14"/>
        <v>894.1209785751829</v>
      </c>
    </row>
    <row r="233" spans="1:7" x14ac:dyDescent="0.2">
      <c r="A233" s="154">
        <v>37600</v>
      </c>
      <c r="B233" s="190" t="s">
        <v>508</v>
      </c>
      <c r="C233" s="6" t="s">
        <v>383</v>
      </c>
      <c r="D233" s="56">
        <v>41379</v>
      </c>
      <c r="E233" s="167">
        <v>6362.25</v>
      </c>
      <c r="F233" s="86">
        <f t="shared" si="13"/>
        <v>5.8577645403926841E-2</v>
      </c>
      <c r="G233" s="87">
        <f t="shared" si="14"/>
        <v>372.68562447113356</v>
      </c>
    </row>
    <row r="234" spans="1:7" x14ac:dyDescent="0.2">
      <c r="A234" s="154">
        <v>37600</v>
      </c>
      <c r="B234" s="190" t="s">
        <v>509</v>
      </c>
      <c r="C234" s="6" t="s">
        <v>397</v>
      </c>
      <c r="D234" s="56">
        <v>41379</v>
      </c>
      <c r="E234" s="167">
        <v>2099.5600000000004</v>
      </c>
      <c r="F234" s="86">
        <f t="shared" si="13"/>
        <v>5.8577645403926841E-2</v>
      </c>
      <c r="G234" s="87">
        <f t="shared" si="14"/>
        <v>122.98728118426867</v>
      </c>
    </row>
    <row r="235" spans="1:7" x14ac:dyDescent="0.2">
      <c r="A235" s="154">
        <v>37600</v>
      </c>
      <c r="B235" s="190" t="s">
        <v>510</v>
      </c>
      <c r="C235" s="6" t="s">
        <v>382</v>
      </c>
      <c r="D235" s="56">
        <v>41427</v>
      </c>
      <c r="E235" s="167">
        <v>4531.1499999999996</v>
      </c>
      <c r="F235" s="86">
        <f t="shared" si="13"/>
        <v>5.8577645403926841E-2</v>
      </c>
      <c r="G235" s="87">
        <f t="shared" si="14"/>
        <v>265.4240979720031</v>
      </c>
    </row>
    <row r="236" spans="1:7" x14ac:dyDescent="0.2">
      <c r="A236" s="154">
        <v>37600</v>
      </c>
      <c r="B236" s="190" t="s">
        <v>511</v>
      </c>
      <c r="C236" s="6" t="s">
        <v>380</v>
      </c>
      <c r="D236" s="56">
        <v>41431</v>
      </c>
      <c r="E236" s="167">
        <v>6881.5400000000009</v>
      </c>
      <c r="F236" s="86">
        <f t="shared" si="13"/>
        <v>5.8577645403926841E-2</v>
      </c>
      <c r="G236" s="87">
        <f t="shared" si="14"/>
        <v>403.10440995293874</v>
      </c>
    </row>
    <row r="237" spans="1:7" x14ac:dyDescent="0.2">
      <c r="A237" s="154">
        <v>37600</v>
      </c>
      <c r="B237" s="190" t="s">
        <v>512</v>
      </c>
      <c r="C237" s="6" t="s">
        <v>383</v>
      </c>
      <c r="D237" s="56">
        <v>41432</v>
      </c>
      <c r="E237" s="167">
        <v>1062.5</v>
      </c>
      <c r="F237" s="86">
        <f t="shared" si="13"/>
        <v>5.8577645403926841E-2</v>
      </c>
      <c r="G237" s="87">
        <f t="shared" si="14"/>
        <v>62.238748241672269</v>
      </c>
    </row>
    <row r="238" spans="1:7" x14ac:dyDescent="0.2">
      <c r="A238" s="154">
        <v>37600</v>
      </c>
      <c r="B238" s="190" t="s">
        <v>513</v>
      </c>
      <c r="C238" s="6" t="s">
        <v>397</v>
      </c>
      <c r="D238" s="56">
        <v>41433</v>
      </c>
      <c r="E238" s="167">
        <v>4530.0300000000007</v>
      </c>
      <c r="F238" s="86">
        <f t="shared" si="13"/>
        <v>5.8577645403926841E-2</v>
      </c>
      <c r="G238" s="87">
        <f t="shared" si="14"/>
        <v>265.35849100915073</v>
      </c>
    </row>
    <row r="239" spans="1:7" x14ac:dyDescent="0.2">
      <c r="A239" s="154">
        <v>37600</v>
      </c>
      <c r="B239" s="190" t="s">
        <v>514</v>
      </c>
      <c r="C239" s="6" t="s">
        <v>382</v>
      </c>
      <c r="D239" s="56">
        <v>41297</v>
      </c>
      <c r="E239" s="167">
        <v>41.390000000000008</v>
      </c>
      <c r="F239" s="86">
        <f t="shared" si="13"/>
        <v>5.8577645403926841E-2</v>
      </c>
      <c r="G239" s="87">
        <f t="shared" si="14"/>
        <v>2.4245287432685325</v>
      </c>
    </row>
    <row r="240" spans="1:7" x14ac:dyDescent="0.2">
      <c r="A240" s="154">
        <v>37600</v>
      </c>
      <c r="B240" s="190" t="s">
        <v>515</v>
      </c>
      <c r="C240" s="6" t="s">
        <v>380</v>
      </c>
      <c r="D240" s="56">
        <v>41297</v>
      </c>
      <c r="E240" s="167">
        <v>466.71000000000004</v>
      </c>
      <c r="F240" s="86">
        <f t="shared" si="13"/>
        <v>5.8577645403926841E-2</v>
      </c>
      <c r="G240" s="87">
        <f t="shared" si="14"/>
        <v>27.3387728864667</v>
      </c>
    </row>
    <row r="241" spans="1:7" x14ac:dyDescent="0.2">
      <c r="A241" s="154">
        <v>37600</v>
      </c>
      <c r="B241" s="190" t="s">
        <v>516</v>
      </c>
      <c r="C241" s="6" t="s">
        <v>383</v>
      </c>
      <c r="D241" s="56">
        <v>41297</v>
      </c>
      <c r="E241" s="167">
        <v>201.66999999999996</v>
      </c>
      <c r="F241" s="86">
        <f t="shared" si="13"/>
        <v>5.8577645403926841E-2</v>
      </c>
      <c r="G241" s="87">
        <f t="shared" si="14"/>
        <v>11.813353748609924</v>
      </c>
    </row>
    <row r="242" spans="1:7" x14ac:dyDescent="0.2">
      <c r="A242" s="154">
        <v>37600</v>
      </c>
      <c r="B242" s="190" t="s">
        <v>517</v>
      </c>
      <c r="C242" s="6" t="s">
        <v>397</v>
      </c>
      <c r="D242" s="56">
        <v>41297</v>
      </c>
      <c r="E242" s="167">
        <v>1500.97</v>
      </c>
      <c r="F242" s="86">
        <f t="shared" si="13"/>
        <v>5.8577645403926841E-2</v>
      </c>
      <c r="G242" s="87">
        <f t="shared" si="14"/>
        <v>87.923288421932071</v>
      </c>
    </row>
    <row r="243" spans="1:7" x14ac:dyDescent="0.2">
      <c r="A243" s="154">
        <v>37600</v>
      </c>
      <c r="B243" s="190" t="s">
        <v>518</v>
      </c>
      <c r="C243" s="6" t="s">
        <v>382</v>
      </c>
      <c r="D243" s="56">
        <v>41379</v>
      </c>
      <c r="E243" s="167">
        <v>297.48</v>
      </c>
      <c r="F243" s="86">
        <f t="shared" si="13"/>
        <v>5.8577645403926841E-2</v>
      </c>
      <c r="G243" s="87">
        <f t="shared" si="14"/>
        <v>17.425677954760157</v>
      </c>
    </row>
    <row r="244" spans="1:7" x14ac:dyDescent="0.2">
      <c r="A244" s="154">
        <v>37600</v>
      </c>
      <c r="B244" s="190" t="s">
        <v>519</v>
      </c>
      <c r="C244" s="6" t="s">
        <v>380</v>
      </c>
      <c r="D244" s="56">
        <v>41379</v>
      </c>
      <c r="E244" s="167">
        <v>381.39</v>
      </c>
      <c r="F244" s="86">
        <f t="shared" si="13"/>
        <v>5.8577645403926841E-2</v>
      </c>
      <c r="G244" s="87">
        <f t="shared" si="14"/>
        <v>22.340928180603658</v>
      </c>
    </row>
    <row r="245" spans="1:7" x14ac:dyDescent="0.2">
      <c r="A245" s="154">
        <v>37600</v>
      </c>
      <c r="B245" s="190" t="s">
        <v>520</v>
      </c>
      <c r="C245" s="6" t="s">
        <v>383</v>
      </c>
      <c r="D245" s="56">
        <v>41379</v>
      </c>
      <c r="E245" s="167">
        <v>725.38</v>
      </c>
      <c r="F245" s="86">
        <f t="shared" si="13"/>
        <v>5.8577645403926841E-2</v>
      </c>
      <c r="G245" s="87">
        <f t="shared" si="14"/>
        <v>42.491052423100449</v>
      </c>
    </row>
    <row r="246" spans="1:7" x14ac:dyDescent="0.2">
      <c r="A246" s="154">
        <v>37600</v>
      </c>
      <c r="B246" s="190" t="s">
        <v>521</v>
      </c>
      <c r="C246" s="6" t="s">
        <v>397</v>
      </c>
      <c r="D246" s="56">
        <v>41379</v>
      </c>
      <c r="E246" s="167">
        <v>400.74999999999994</v>
      </c>
      <c r="F246" s="86">
        <f t="shared" si="13"/>
        <v>5.8577645403926841E-2</v>
      </c>
      <c r="G246" s="87">
        <f t="shared" si="14"/>
        <v>23.474991395623679</v>
      </c>
    </row>
    <row r="247" spans="1:7" x14ac:dyDescent="0.2">
      <c r="A247" s="154">
        <v>37600</v>
      </c>
      <c r="B247" s="190" t="s">
        <v>522</v>
      </c>
      <c r="C247" s="6" t="s">
        <v>383</v>
      </c>
      <c r="D247" s="56">
        <v>41453</v>
      </c>
      <c r="E247" s="167">
        <v>1432.39</v>
      </c>
      <c r="F247" s="86">
        <f t="shared" si="13"/>
        <v>5.8577645403926841E-2</v>
      </c>
      <c r="G247" s="87">
        <f t="shared" si="14"/>
        <v>83.906033500130775</v>
      </c>
    </row>
    <row r="248" spans="1:7" x14ac:dyDescent="0.2">
      <c r="A248" s="154">
        <v>37600</v>
      </c>
      <c r="B248" s="190" t="s">
        <v>523</v>
      </c>
      <c r="C248" s="6" t="s">
        <v>397</v>
      </c>
      <c r="D248" s="56">
        <v>41454</v>
      </c>
      <c r="E248" s="167">
        <v>920.75000000000011</v>
      </c>
      <c r="F248" s="86">
        <f t="shared" si="13"/>
        <v>5.8577645403926841E-2</v>
      </c>
      <c r="G248" s="87">
        <f t="shared" si="14"/>
        <v>53.935367005665647</v>
      </c>
    </row>
    <row r="249" spans="1:7" x14ac:dyDescent="0.2">
      <c r="A249" s="154">
        <v>37600</v>
      </c>
      <c r="B249" s="190" t="s">
        <v>524</v>
      </c>
      <c r="C249" s="6" t="s">
        <v>525</v>
      </c>
      <c r="D249" s="56">
        <v>41297</v>
      </c>
      <c r="E249" s="167">
        <v>1262354.3600000013</v>
      </c>
      <c r="F249" s="86">
        <f t="shared" si="13"/>
        <v>5.8577645403926841E-2</v>
      </c>
      <c r="G249" s="87">
        <f t="shared" si="14"/>
        <v>73945.746074181079</v>
      </c>
    </row>
    <row r="250" spans="1:7" x14ac:dyDescent="0.2">
      <c r="A250" s="154" t="s">
        <v>585</v>
      </c>
      <c r="B250" s="190" t="s">
        <v>206</v>
      </c>
      <c r="C250" s="6" t="s">
        <v>309</v>
      </c>
      <c r="D250" s="56">
        <v>41122</v>
      </c>
      <c r="E250" s="167">
        <v>122.07000000000001</v>
      </c>
      <c r="F250" s="86">
        <f t="shared" si="13"/>
        <v>5.8577645403926841E-2</v>
      </c>
      <c r="G250" s="87">
        <f t="shared" si="14"/>
        <v>7.1505731744573495</v>
      </c>
    </row>
    <row r="251" spans="1:7" x14ac:dyDescent="0.2">
      <c r="A251" s="154" t="s">
        <v>585</v>
      </c>
      <c r="B251" s="190" t="s">
        <v>206</v>
      </c>
      <c r="C251" s="6" t="s">
        <v>309</v>
      </c>
      <c r="D251" s="56">
        <v>41153</v>
      </c>
      <c r="E251" s="167">
        <v>493.76</v>
      </c>
      <c r="F251" s="86">
        <f t="shared" si="13"/>
        <v>5.8577645403926841E-2</v>
      </c>
      <c r="G251" s="87">
        <f t="shared" si="14"/>
        <v>28.923298194642918</v>
      </c>
    </row>
    <row r="252" spans="1:7" x14ac:dyDescent="0.2">
      <c r="A252" s="154" t="s">
        <v>585</v>
      </c>
      <c r="B252" s="190" t="s">
        <v>206</v>
      </c>
      <c r="C252" s="6" t="s">
        <v>309</v>
      </c>
      <c r="D252" s="56">
        <v>41183</v>
      </c>
      <c r="E252" s="167">
        <v>1189.73</v>
      </c>
      <c r="F252" s="86">
        <f t="shared" si="13"/>
        <v>5.8577645403926841E-2</v>
      </c>
      <c r="G252" s="87">
        <f t="shared" si="14"/>
        <v>69.691582066413886</v>
      </c>
    </row>
    <row r="253" spans="1:7" x14ac:dyDescent="0.2">
      <c r="A253" s="154" t="s">
        <v>585</v>
      </c>
      <c r="B253" s="190" t="s">
        <v>207</v>
      </c>
      <c r="C253" s="6" t="s">
        <v>310</v>
      </c>
      <c r="D253" s="56">
        <v>41153</v>
      </c>
      <c r="E253" s="167">
        <v>2987.93</v>
      </c>
      <c r="F253" s="86">
        <f t="shared" si="13"/>
        <v>5.8577645403926841E-2</v>
      </c>
      <c r="G253" s="87">
        <f t="shared" si="14"/>
        <v>175.02590403175512</v>
      </c>
    </row>
    <row r="254" spans="1:7" x14ac:dyDescent="0.2">
      <c r="A254" s="154" t="s">
        <v>585</v>
      </c>
      <c r="B254" s="190" t="s">
        <v>207</v>
      </c>
      <c r="C254" s="6" t="s">
        <v>310</v>
      </c>
      <c r="D254" s="56">
        <v>41183</v>
      </c>
      <c r="E254" s="167">
        <v>1930.1100000000001</v>
      </c>
      <c r="F254" s="86">
        <f t="shared" si="13"/>
        <v>5.8577645403926841E-2</v>
      </c>
      <c r="G254" s="87">
        <f t="shared" si="14"/>
        <v>113.06129917057324</v>
      </c>
    </row>
    <row r="255" spans="1:7" x14ac:dyDescent="0.2">
      <c r="A255" s="154" t="s">
        <v>585</v>
      </c>
      <c r="B255" s="190" t="s">
        <v>208</v>
      </c>
      <c r="C255" s="6" t="s">
        <v>312</v>
      </c>
      <c r="D255" s="56">
        <v>41122</v>
      </c>
      <c r="E255" s="167">
        <v>427.86</v>
      </c>
      <c r="F255" s="86">
        <f t="shared" si="13"/>
        <v>5.8577645403926841E-2</v>
      </c>
      <c r="G255" s="87">
        <f t="shared" si="14"/>
        <v>25.063031362524139</v>
      </c>
    </row>
    <row r="256" spans="1:7" x14ac:dyDescent="0.2">
      <c r="A256" s="154" t="s">
        <v>585</v>
      </c>
      <c r="B256" s="190" t="s">
        <v>208</v>
      </c>
      <c r="C256" s="6" t="s">
        <v>312</v>
      </c>
      <c r="D256" s="56">
        <v>41153</v>
      </c>
      <c r="E256" s="167">
        <v>946.48</v>
      </c>
      <c r="F256" s="86">
        <f t="shared" si="13"/>
        <v>5.8577645403926841E-2</v>
      </c>
      <c r="G256" s="87">
        <f t="shared" si="14"/>
        <v>55.442569821908677</v>
      </c>
    </row>
    <row r="257" spans="1:7" x14ac:dyDescent="0.2">
      <c r="A257" s="154" t="s">
        <v>585</v>
      </c>
      <c r="B257" s="190" t="s">
        <v>208</v>
      </c>
      <c r="C257" s="6" t="s">
        <v>312</v>
      </c>
      <c r="D257" s="56">
        <v>41183</v>
      </c>
      <c r="E257" s="167">
        <v>2232.96</v>
      </c>
      <c r="F257" s="86">
        <f t="shared" si="13"/>
        <v>5.8577645403926841E-2</v>
      </c>
      <c r="G257" s="87">
        <f t="shared" si="14"/>
        <v>130.80153908115247</v>
      </c>
    </row>
    <row r="258" spans="1:7" x14ac:dyDescent="0.2">
      <c r="A258" s="154" t="s">
        <v>586</v>
      </c>
      <c r="B258" s="190" t="s">
        <v>211</v>
      </c>
      <c r="C258" s="6" t="s">
        <v>282</v>
      </c>
      <c r="D258" s="56">
        <v>41122</v>
      </c>
      <c r="E258" s="167">
        <v>368.09000000000003</v>
      </c>
      <c r="F258" s="86">
        <f t="shared" si="13"/>
        <v>5.8577645403926841E-2</v>
      </c>
      <c r="G258" s="87">
        <f t="shared" si="14"/>
        <v>21.561845496731433</v>
      </c>
    </row>
    <row r="259" spans="1:7" x14ac:dyDescent="0.2">
      <c r="A259" s="154" t="s">
        <v>586</v>
      </c>
      <c r="B259" s="190" t="s">
        <v>211</v>
      </c>
      <c r="C259" s="6" t="s">
        <v>282</v>
      </c>
      <c r="D259" s="56">
        <v>41183</v>
      </c>
      <c r="E259" s="167">
        <v>2080.67</v>
      </c>
      <c r="F259" s="86">
        <f t="shared" si="13"/>
        <v>5.8577645403926841E-2</v>
      </c>
      <c r="G259" s="87">
        <f t="shared" si="14"/>
        <v>121.88074946258847</v>
      </c>
    </row>
    <row r="260" spans="1:7" x14ac:dyDescent="0.2">
      <c r="A260" s="154" t="s">
        <v>586</v>
      </c>
      <c r="B260" s="190" t="s">
        <v>215</v>
      </c>
      <c r="C260" s="6" t="s">
        <v>318</v>
      </c>
      <c r="D260" s="56">
        <v>41122</v>
      </c>
      <c r="E260" s="167">
        <v>-1.94</v>
      </c>
      <c r="F260" s="86">
        <f t="shared" si="13"/>
        <v>5.8577645403926841E-2</v>
      </c>
      <c r="G260" s="87">
        <f t="shared" si="14"/>
        <v>-0.11364063208361806</v>
      </c>
    </row>
    <row r="261" spans="1:7" x14ac:dyDescent="0.2">
      <c r="A261" s="154" t="s">
        <v>586</v>
      </c>
      <c r="B261" s="190" t="s">
        <v>215</v>
      </c>
      <c r="C261" s="6" t="s">
        <v>318</v>
      </c>
      <c r="D261" s="56">
        <v>41153</v>
      </c>
      <c r="E261" s="167">
        <v>2845.77</v>
      </c>
      <c r="F261" s="86">
        <f t="shared" si="13"/>
        <v>5.8577645403926841E-2</v>
      </c>
      <c r="G261" s="87">
        <f t="shared" si="14"/>
        <v>166.69850596113289</v>
      </c>
    </row>
    <row r="262" spans="1:7" x14ac:dyDescent="0.2">
      <c r="A262" s="154" t="s">
        <v>587</v>
      </c>
      <c r="B262" s="190" t="s">
        <v>211</v>
      </c>
      <c r="C262" s="6" t="s">
        <v>282</v>
      </c>
      <c r="D262" s="56">
        <v>41153</v>
      </c>
      <c r="E262" s="167">
        <v>3973.96</v>
      </c>
      <c r="F262" s="86">
        <f t="shared" si="13"/>
        <v>5.8577645403926841E-2</v>
      </c>
      <c r="G262" s="87">
        <f t="shared" si="14"/>
        <v>232.7852197293891</v>
      </c>
    </row>
    <row r="263" spans="1:7" x14ac:dyDescent="0.2">
      <c r="A263" s="154" t="s">
        <v>587</v>
      </c>
      <c r="B263" s="190" t="s">
        <v>211</v>
      </c>
      <c r="C263" s="6" t="s">
        <v>282</v>
      </c>
      <c r="D263" s="56">
        <v>41183</v>
      </c>
      <c r="E263" s="167">
        <v>1336.89</v>
      </c>
      <c r="F263" s="86">
        <f t="shared" si="13"/>
        <v>5.8577645403926841E-2</v>
      </c>
      <c r="G263" s="87">
        <f t="shared" si="14"/>
        <v>78.311868364055755</v>
      </c>
    </row>
    <row r="264" spans="1:7" x14ac:dyDescent="0.2">
      <c r="A264" s="154" t="s">
        <v>587</v>
      </c>
      <c r="B264" s="190" t="s">
        <v>212</v>
      </c>
      <c r="C264" s="6" t="s">
        <v>283</v>
      </c>
      <c r="D264" s="56">
        <v>41122</v>
      </c>
      <c r="E264" s="167">
        <v>504.38</v>
      </c>
      <c r="F264" s="86">
        <f t="shared" si="13"/>
        <v>5.8577645403926841E-2</v>
      </c>
      <c r="G264" s="87">
        <f t="shared" si="14"/>
        <v>29.545392788832618</v>
      </c>
    </row>
    <row r="265" spans="1:7" x14ac:dyDescent="0.2">
      <c r="A265" s="154" t="s">
        <v>587</v>
      </c>
      <c r="B265" s="190" t="s">
        <v>212</v>
      </c>
      <c r="C265" s="6" t="s">
        <v>283</v>
      </c>
      <c r="D265" s="56">
        <v>41153</v>
      </c>
      <c r="E265" s="167">
        <v>2143.23</v>
      </c>
      <c r="F265" s="86">
        <f t="shared" si="13"/>
        <v>5.8577645403926841E-2</v>
      </c>
      <c r="G265" s="87">
        <f t="shared" si="14"/>
        <v>125.54536695905813</v>
      </c>
    </row>
    <row r="266" spans="1:7" x14ac:dyDescent="0.2">
      <c r="A266" s="154" t="s">
        <v>587</v>
      </c>
      <c r="B266" s="190" t="s">
        <v>212</v>
      </c>
      <c r="C266" s="6" t="s">
        <v>283</v>
      </c>
      <c r="D266" s="56">
        <v>41183</v>
      </c>
      <c r="E266" s="167">
        <v>2427.25</v>
      </c>
      <c r="F266" s="86">
        <f t="shared" si="13"/>
        <v>5.8577645403926841E-2</v>
      </c>
      <c r="G266" s="87">
        <f t="shared" si="14"/>
        <v>142.18258980668142</v>
      </c>
    </row>
    <row r="267" spans="1:7" x14ac:dyDescent="0.2">
      <c r="A267" s="154" t="s">
        <v>587</v>
      </c>
      <c r="B267" s="190" t="s">
        <v>213</v>
      </c>
      <c r="C267" s="6" t="s">
        <v>285</v>
      </c>
      <c r="D267" s="56">
        <v>41122</v>
      </c>
      <c r="E267" s="167">
        <v>831.59</v>
      </c>
      <c r="F267" s="86">
        <f t="shared" si="13"/>
        <v>5.8577645403926841E-2</v>
      </c>
      <c r="G267" s="87">
        <f t="shared" si="14"/>
        <v>48.712584141451522</v>
      </c>
    </row>
    <row r="268" spans="1:7" x14ac:dyDescent="0.2">
      <c r="A268" s="154" t="s">
        <v>587</v>
      </c>
      <c r="B268" s="190" t="s">
        <v>213</v>
      </c>
      <c r="C268" s="6" t="s">
        <v>285</v>
      </c>
      <c r="D268" s="56">
        <v>41153</v>
      </c>
      <c r="E268" s="167">
        <v>2395.77</v>
      </c>
      <c r="F268" s="86">
        <f t="shared" si="13"/>
        <v>5.8577645403926841E-2</v>
      </c>
      <c r="G268" s="87">
        <f t="shared" si="14"/>
        <v>140.33856552936581</v>
      </c>
    </row>
    <row r="269" spans="1:7" x14ac:dyDescent="0.2">
      <c r="A269" s="154" t="s">
        <v>587</v>
      </c>
      <c r="B269" s="190" t="s">
        <v>213</v>
      </c>
      <c r="C269" s="6" t="s">
        <v>285</v>
      </c>
      <c r="D269" s="56">
        <v>41183</v>
      </c>
      <c r="E269" s="167">
        <v>3065.4300000000003</v>
      </c>
      <c r="F269" s="86">
        <f t="shared" si="13"/>
        <v>5.8577645403926841E-2</v>
      </c>
      <c r="G269" s="87">
        <f t="shared" si="14"/>
        <v>179.56567155055947</v>
      </c>
    </row>
    <row r="270" spans="1:7" x14ac:dyDescent="0.2">
      <c r="A270" s="154" t="s">
        <v>587</v>
      </c>
      <c r="B270" s="190" t="s">
        <v>214</v>
      </c>
      <c r="C270" s="6" t="s">
        <v>316</v>
      </c>
      <c r="D270" s="56">
        <v>41122</v>
      </c>
      <c r="E270" s="167">
        <v>113.39</v>
      </c>
      <c r="F270" s="86">
        <f t="shared" si="13"/>
        <v>5.8577645403926841E-2</v>
      </c>
      <c r="G270" s="87">
        <f t="shared" si="14"/>
        <v>6.6421192123512647</v>
      </c>
    </row>
    <row r="271" spans="1:7" x14ac:dyDescent="0.2">
      <c r="A271" s="154" t="s">
        <v>587</v>
      </c>
      <c r="B271" s="190" t="s">
        <v>214</v>
      </c>
      <c r="C271" s="6" t="s">
        <v>316</v>
      </c>
      <c r="D271" s="56">
        <v>41153</v>
      </c>
      <c r="E271" s="167">
        <v>5035.1900000000005</v>
      </c>
      <c r="F271" s="86">
        <f t="shared" si="13"/>
        <v>5.8577645403926841E-2</v>
      </c>
      <c r="G271" s="87">
        <f t="shared" si="14"/>
        <v>294.94957436139845</v>
      </c>
    </row>
    <row r="272" spans="1:7" x14ac:dyDescent="0.2">
      <c r="A272" s="154" t="s">
        <v>587</v>
      </c>
      <c r="B272" s="190" t="s">
        <v>214</v>
      </c>
      <c r="C272" s="6" t="s">
        <v>316</v>
      </c>
      <c r="D272" s="56">
        <v>41183</v>
      </c>
      <c r="E272" s="167">
        <v>3296.65</v>
      </c>
      <c r="F272" s="86">
        <f t="shared" si="13"/>
        <v>5.8577645403926841E-2</v>
      </c>
      <c r="G272" s="87">
        <f t="shared" si="14"/>
        <v>193.10999472085544</v>
      </c>
    </row>
    <row r="273" spans="1:7" x14ac:dyDescent="0.2">
      <c r="A273" s="154" t="s">
        <v>587</v>
      </c>
      <c r="B273" s="190" t="s">
        <v>215</v>
      </c>
      <c r="C273" s="6" t="s">
        <v>318</v>
      </c>
      <c r="D273" s="56">
        <v>41122</v>
      </c>
      <c r="E273" s="167">
        <v>-1.1200000000000001</v>
      </c>
      <c r="F273" s="86">
        <f t="shared" si="13"/>
        <v>5.8577645403926841E-2</v>
      </c>
      <c r="G273" s="87">
        <f t="shared" si="14"/>
        <v>-6.5606962852398074E-2</v>
      </c>
    </row>
    <row r="274" spans="1:7" x14ac:dyDescent="0.2">
      <c r="A274" s="154" t="s">
        <v>587</v>
      </c>
      <c r="B274" s="190" t="s">
        <v>215</v>
      </c>
      <c r="C274" s="6" t="s">
        <v>318</v>
      </c>
      <c r="D274" s="56">
        <v>41153</v>
      </c>
      <c r="E274" s="167">
        <v>1333.05</v>
      </c>
      <c r="F274" s="86">
        <f t="shared" si="13"/>
        <v>5.8577645403926841E-2</v>
      </c>
      <c r="G274" s="87">
        <f t="shared" si="14"/>
        <v>78.086930205704675</v>
      </c>
    </row>
    <row r="275" spans="1:7" x14ac:dyDescent="0.2">
      <c r="A275" s="154" t="s">
        <v>587</v>
      </c>
      <c r="B275" s="190" t="s">
        <v>568</v>
      </c>
      <c r="C275" s="6" t="s">
        <v>561</v>
      </c>
      <c r="D275" s="56">
        <v>41122</v>
      </c>
      <c r="E275" s="167">
        <v>-23.03</v>
      </c>
      <c r="F275" s="86">
        <f t="shared" si="13"/>
        <v>5.8577645403926841E-2</v>
      </c>
      <c r="G275" s="87">
        <f t="shared" si="14"/>
        <v>-1.3490431736524353</v>
      </c>
    </row>
    <row r="276" spans="1:7" x14ac:dyDescent="0.2">
      <c r="A276" s="154" t="s">
        <v>587</v>
      </c>
      <c r="B276" s="190" t="s">
        <v>568</v>
      </c>
      <c r="C276" s="6" t="s">
        <v>561</v>
      </c>
      <c r="D276" s="56">
        <v>41153</v>
      </c>
      <c r="E276" s="167">
        <v>-30.91</v>
      </c>
      <c r="F276" s="86">
        <f t="shared" si="13"/>
        <v>5.8577645403926841E-2</v>
      </c>
      <c r="G276" s="87">
        <f t="shared" si="14"/>
        <v>-1.8106350194353786</v>
      </c>
    </row>
    <row r="277" spans="1:7" x14ac:dyDescent="0.2">
      <c r="A277" s="154" t="s">
        <v>585</v>
      </c>
      <c r="B277" s="190" t="s">
        <v>207</v>
      </c>
      <c r="C277" s="6" t="s">
        <v>310</v>
      </c>
      <c r="D277" s="56">
        <v>41061</v>
      </c>
      <c r="E277" s="167">
        <v>233.93</v>
      </c>
      <c r="F277" s="86">
        <f t="shared" si="13"/>
        <v>5.8577645403926841E-2</v>
      </c>
      <c r="G277" s="87">
        <f t="shared" si="14"/>
        <v>13.703068589340607</v>
      </c>
    </row>
    <row r="278" spans="1:7" x14ac:dyDescent="0.2">
      <c r="A278" s="154" t="s">
        <v>585</v>
      </c>
      <c r="B278" s="190" t="s">
        <v>208</v>
      </c>
      <c r="C278" s="6" t="s">
        <v>312</v>
      </c>
      <c r="D278" s="56">
        <v>41061</v>
      </c>
      <c r="E278" s="167">
        <v>211.38</v>
      </c>
      <c r="F278" s="86">
        <f t="shared" si="13"/>
        <v>5.8577645403926841E-2</v>
      </c>
      <c r="G278" s="87">
        <f t="shared" si="14"/>
        <v>12.382142685482055</v>
      </c>
    </row>
    <row r="279" spans="1:7" x14ac:dyDescent="0.2">
      <c r="A279" s="154" t="s">
        <v>585</v>
      </c>
      <c r="B279" s="190" t="s">
        <v>208</v>
      </c>
      <c r="C279" s="6" t="s">
        <v>312</v>
      </c>
      <c r="D279" s="56">
        <v>41091</v>
      </c>
      <c r="E279" s="167">
        <v>-13.86</v>
      </c>
      <c r="F279" s="86">
        <f t="shared" si="13"/>
        <v>5.8577645403926841E-2</v>
      </c>
      <c r="G279" s="87">
        <f t="shared" si="14"/>
        <v>-0.81188616529842594</v>
      </c>
    </row>
    <row r="280" spans="1:7" x14ac:dyDescent="0.2">
      <c r="A280" s="154" t="s">
        <v>585</v>
      </c>
      <c r="B280" s="190" t="s">
        <v>209</v>
      </c>
      <c r="C280" s="6" t="s">
        <v>340</v>
      </c>
      <c r="D280" s="56">
        <v>41061</v>
      </c>
      <c r="E280" s="167">
        <v>47.54</v>
      </c>
      <c r="F280" s="86">
        <f t="shared" si="13"/>
        <v>5.8577645403926841E-2</v>
      </c>
      <c r="G280" s="87">
        <f t="shared" si="14"/>
        <v>2.784781262502682</v>
      </c>
    </row>
    <row r="281" spans="1:7" x14ac:dyDescent="0.2">
      <c r="A281" s="154" t="s">
        <v>585</v>
      </c>
      <c r="B281" s="190" t="s">
        <v>210</v>
      </c>
      <c r="C281" s="6" t="s">
        <v>342</v>
      </c>
      <c r="D281" s="56">
        <v>41061</v>
      </c>
      <c r="E281" s="167">
        <v>1.26</v>
      </c>
      <c r="F281" s="86">
        <f t="shared" ref="F281:F295" si="15">$B$8</f>
        <v>5.8577645403926841E-2</v>
      </c>
      <c r="G281" s="87">
        <f t="shared" ref="G281:G295" si="16">E281*F281</f>
        <v>7.3807833208947821E-2</v>
      </c>
    </row>
    <row r="282" spans="1:7" x14ac:dyDescent="0.2">
      <c r="A282" s="154" t="s">
        <v>586</v>
      </c>
      <c r="B282" s="190" t="s">
        <v>211</v>
      </c>
      <c r="C282" s="6" t="s">
        <v>282</v>
      </c>
      <c r="D282" s="56">
        <v>41061</v>
      </c>
      <c r="E282" s="167">
        <v>-504.35</v>
      </c>
      <c r="F282" s="86">
        <f t="shared" si="15"/>
        <v>5.8577645403926841E-2</v>
      </c>
      <c r="G282" s="87">
        <f t="shared" si="16"/>
        <v>-29.543635459470504</v>
      </c>
    </row>
    <row r="283" spans="1:7" x14ac:dyDescent="0.2">
      <c r="A283" s="154" t="s">
        <v>586</v>
      </c>
      <c r="B283" s="190" t="s">
        <v>211</v>
      </c>
      <c r="C283" s="6" t="s">
        <v>282</v>
      </c>
      <c r="D283" s="56">
        <v>41091</v>
      </c>
      <c r="E283" s="167">
        <v>837.87</v>
      </c>
      <c r="F283" s="86">
        <f t="shared" si="15"/>
        <v>5.8577645403926841E-2</v>
      </c>
      <c r="G283" s="87">
        <f t="shared" si="16"/>
        <v>49.080451754588182</v>
      </c>
    </row>
    <row r="284" spans="1:7" x14ac:dyDescent="0.2">
      <c r="A284" s="154" t="s">
        <v>586</v>
      </c>
      <c r="B284" s="190" t="s">
        <v>214</v>
      </c>
      <c r="C284" s="6" t="s">
        <v>316</v>
      </c>
      <c r="D284" s="56">
        <v>41091</v>
      </c>
      <c r="E284" s="167">
        <v>0</v>
      </c>
      <c r="F284" s="86">
        <f t="shared" si="15"/>
        <v>5.8577645403926841E-2</v>
      </c>
      <c r="G284" s="87">
        <f t="shared" si="16"/>
        <v>0</v>
      </c>
    </row>
    <row r="285" spans="1:7" x14ac:dyDescent="0.2">
      <c r="A285" s="154" t="s">
        <v>586</v>
      </c>
      <c r="B285" s="190" t="s">
        <v>215</v>
      </c>
      <c r="C285" s="6" t="s">
        <v>318</v>
      </c>
      <c r="D285" s="56">
        <v>41061</v>
      </c>
      <c r="E285" s="167">
        <v>158.38999999999999</v>
      </c>
      <c r="F285" s="86">
        <f t="shared" si="15"/>
        <v>5.8577645403926841E-2</v>
      </c>
      <c r="G285" s="87">
        <f t="shared" si="16"/>
        <v>9.2781132555279715</v>
      </c>
    </row>
    <row r="286" spans="1:7" x14ac:dyDescent="0.2">
      <c r="A286" s="154" t="s">
        <v>586</v>
      </c>
      <c r="B286" s="190" t="s">
        <v>215</v>
      </c>
      <c r="C286" s="6" t="s">
        <v>318</v>
      </c>
      <c r="D286" s="56">
        <v>41091</v>
      </c>
      <c r="E286" s="167">
        <v>-111.61</v>
      </c>
      <c r="F286" s="86">
        <f t="shared" si="15"/>
        <v>5.8577645403926841E-2</v>
      </c>
      <c r="G286" s="87">
        <f t="shared" si="16"/>
        <v>-6.5378510035322748</v>
      </c>
    </row>
    <row r="287" spans="1:7" x14ac:dyDescent="0.2">
      <c r="A287" s="154" t="s">
        <v>587</v>
      </c>
      <c r="B287" s="190" t="s">
        <v>212</v>
      </c>
      <c r="C287" s="6" t="s">
        <v>283</v>
      </c>
      <c r="D287" s="56">
        <v>41061</v>
      </c>
      <c r="E287" s="167">
        <v>1609.13</v>
      </c>
      <c r="F287" s="86">
        <f t="shared" si="15"/>
        <v>5.8577645403926841E-2</v>
      </c>
      <c r="G287" s="87">
        <f t="shared" si="16"/>
        <v>94.259046548820805</v>
      </c>
    </row>
    <row r="288" spans="1:7" x14ac:dyDescent="0.2">
      <c r="A288" s="154" t="s">
        <v>587</v>
      </c>
      <c r="B288" s="190" t="s">
        <v>212</v>
      </c>
      <c r="C288" s="6" t="s">
        <v>283</v>
      </c>
      <c r="D288" s="56">
        <v>41091</v>
      </c>
      <c r="E288" s="167">
        <v>1059.8800000000001</v>
      </c>
      <c r="F288" s="86">
        <f t="shared" si="15"/>
        <v>5.8577645403926841E-2</v>
      </c>
      <c r="G288" s="87">
        <f t="shared" si="16"/>
        <v>62.085274810713983</v>
      </c>
    </row>
    <row r="289" spans="1:7" x14ac:dyDescent="0.2">
      <c r="A289" s="154" t="s">
        <v>587</v>
      </c>
      <c r="B289" s="190" t="s">
        <v>213</v>
      </c>
      <c r="C289" s="6" t="s">
        <v>285</v>
      </c>
      <c r="D289" s="56">
        <v>41061</v>
      </c>
      <c r="E289" s="167">
        <v>-188.85</v>
      </c>
      <c r="F289" s="86">
        <f t="shared" si="15"/>
        <v>5.8577645403926841E-2</v>
      </c>
      <c r="G289" s="87">
        <f t="shared" si="16"/>
        <v>-11.062388334531583</v>
      </c>
    </row>
    <row r="290" spans="1:7" x14ac:dyDescent="0.2">
      <c r="A290" s="154" t="s">
        <v>587</v>
      </c>
      <c r="B290" s="190" t="s">
        <v>213</v>
      </c>
      <c r="C290" s="6" t="s">
        <v>285</v>
      </c>
      <c r="D290" s="56">
        <v>41091</v>
      </c>
      <c r="E290" s="167">
        <v>1590.45</v>
      </c>
      <c r="F290" s="86">
        <f t="shared" si="15"/>
        <v>5.8577645403926841E-2</v>
      </c>
      <c r="G290" s="87">
        <f t="shared" si="16"/>
        <v>93.16481613267544</v>
      </c>
    </row>
    <row r="291" spans="1:7" x14ac:dyDescent="0.2">
      <c r="A291" s="154" t="s">
        <v>587</v>
      </c>
      <c r="B291" s="190" t="s">
        <v>214</v>
      </c>
      <c r="C291" s="6" t="s">
        <v>316</v>
      </c>
      <c r="D291" s="56">
        <v>41061</v>
      </c>
      <c r="E291" s="167">
        <v>14200.18</v>
      </c>
      <c r="F291" s="86">
        <f t="shared" si="15"/>
        <v>5.8577645403926841E-2</v>
      </c>
      <c r="G291" s="87">
        <f t="shared" si="16"/>
        <v>831.81310871193386</v>
      </c>
    </row>
    <row r="292" spans="1:7" x14ac:dyDescent="0.2">
      <c r="A292" s="154" t="s">
        <v>587</v>
      </c>
      <c r="B292" s="190" t="s">
        <v>214</v>
      </c>
      <c r="C292" s="6" t="s">
        <v>316</v>
      </c>
      <c r="D292" s="56">
        <v>41091</v>
      </c>
      <c r="E292" s="167">
        <v>4393.3100000000004</v>
      </c>
      <c r="F292" s="86">
        <f t="shared" si="15"/>
        <v>5.8577645403926841E-2</v>
      </c>
      <c r="G292" s="87">
        <f t="shared" si="16"/>
        <v>257.34975532952586</v>
      </c>
    </row>
    <row r="293" spans="1:7" x14ac:dyDescent="0.2">
      <c r="A293" s="154" t="s">
        <v>587</v>
      </c>
      <c r="B293" s="190" t="s">
        <v>215</v>
      </c>
      <c r="C293" s="6" t="s">
        <v>318</v>
      </c>
      <c r="D293" s="56">
        <v>41061</v>
      </c>
      <c r="E293" s="167">
        <v>89.06</v>
      </c>
      <c r="F293" s="86">
        <f t="shared" si="15"/>
        <v>5.8577645403926841E-2</v>
      </c>
      <c r="G293" s="87">
        <f t="shared" si="16"/>
        <v>5.2169250996737242</v>
      </c>
    </row>
    <row r="294" spans="1:7" x14ac:dyDescent="0.2">
      <c r="A294" s="154" t="s">
        <v>587</v>
      </c>
      <c r="B294" s="190" t="s">
        <v>215</v>
      </c>
      <c r="C294" s="6" t="s">
        <v>318</v>
      </c>
      <c r="D294" s="56">
        <v>41091</v>
      </c>
      <c r="E294" s="167">
        <v>-50.79</v>
      </c>
      <c r="F294" s="86">
        <f t="shared" si="15"/>
        <v>5.8577645403926841E-2</v>
      </c>
      <c r="G294" s="87">
        <f t="shared" si="16"/>
        <v>-2.9751586100654444</v>
      </c>
    </row>
    <row r="295" spans="1:7" x14ac:dyDescent="0.2">
      <c r="A295" s="154" t="s">
        <v>587</v>
      </c>
      <c r="B295" s="190" t="s">
        <v>568</v>
      </c>
      <c r="C295" s="6" t="s">
        <v>561</v>
      </c>
      <c r="D295" s="56">
        <v>41091</v>
      </c>
      <c r="E295" s="167">
        <v>20623.66</v>
      </c>
      <c r="F295" s="86">
        <f t="shared" si="15"/>
        <v>5.8577645403926841E-2</v>
      </c>
      <c r="G295" s="87">
        <f t="shared" si="16"/>
        <v>1208.0854424111499</v>
      </c>
    </row>
    <row r="296" spans="1:7" x14ac:dyDescent="0.2">
      <c r="E296" s="267"/>
    </row>
    <row r="297" spans="1:7" ht="13.5" thickBot="1" x14ac:dyDescent="0.25">
      <c r="C297" s="12" t="s">
        <v>29</v>
      </c>
      <c r="E297" s="265">
        <f>SUM(E216:E295)</f>
        <v>1435774.1400000001</v>
      </c>
      <c r="G297" s="84">
        <f>SUM(G216:G295)</f>
        <v>84104.268453048076</v>
      </c>
    </row>
    <row r="298" spans="1:7" ht="13.5" thickTop="1" x14ac:dyDescent="0.2">
      <c r="E298" s="83"/>
    </row>
    <row r="299" spans="1:7" ht="13.5" thickBot="1" x14ac:dyDescent="0.25">
      <c r="C299" s="12" t="s">
        <v>30</v>
      </c>
      <c r="E299" s="252">
        <f>E297+E211+E53</f>
        <v>1859000.7500000005</v>
      </c>
      <c r="G299" s="15">
        <f>G297+G211+G53</f>
        <v>95351.243637559339</v>
      </c>
    </row>
    <row r="300" spans="1:7" ht="13.5" thickTop="1" x14ac:dyDescent="0.2">
      <c r="E300" s="83"/>
    </row>
    <row r="301" spans="1:7" x14ac:dyDescent="0.2">
      <c r="E301" s="267"/>
    </row>
    <row r="302" spans="1:7" x14ac:dyDescent="0.2">
      <c r="A302" s="2" t="s">
        <v>31</v>
      </c>
      <c r="E302" s="267"/>
    </row>
    <row r="303" spans="1:7" x14ac:dyDescent="0.2">
      <c r="E303" s="267"/>
    </row>
    <row r="304" spans="1:7" x14ac:dyDescent="0.2">
      <c r="A304" s="156">
        <v>38000</v>
      </c>
      <c r="B304" s="66" t="s">
        <v>393</v>
      </c>
      <c r="C304" s="6" t="s">
        <v>394</v>
      </c>
      <c r="D304" s="56">
        <v>41277</v>
      </c>
      <c r="E304" s="262">
        <v>6241.79</v>
      </c>
      <c r="F304" s="54">
        <f>$B$9</f>
        <v>2.7055355331369324E-2</v>
      </c>
      <c r="G304" s="80">
        <f t="shared" ref="G304:G322" si="17">E304*F304</f>
        <v>168.87384635378774</v>
      </c>
    </row>
    <row r="305" spans="1:7" x14ac:dyDescent="0.2">
      <c r="A305" s="156">
        <v>38000</v>
      </c>
      <c r="B305" s="66" t="s">
        <v>392</v>
      </c>
      <c r="C305" s="6" t="s">
        <v>394</v>
      </c>
      <c r="D305" s="56">
        <v>41366</v>
      </c>
      <c r="E305" s="262">
        <v>7823.0300000000125</v>
      </c>
      <c r="F305" s="54">
        <f t="shared" ref="F305:F319" si="18">$B$9</f>
        <v>2.7055355331369324E-2</v>
      </c>
      <c r="G305" s="80">
        <f t="shared" ref="G305:G319" si="19">E305*F305</f>
        <v>211.65485641796249</v>
      </c>
    </row>
    <row r="306" spans="1:7" x14ac:dyDescent="0.2">
      <c r="A306" s="156">
        <v>38000</v>
      </c>
      <c r="B306" s="66" t="s">
        <v>391</v>
      </c>
      <c r="C306" s="6" t="s">
        <v>394</v>
      </c>
      <c r="D306" s="56">
        <v>41427</v>
      </c>
      <c r="E306" s="262">
        <v>14639.840000000004</v>
      </c>
      <c r="F306" s="54">
        <f t="shared" si="18"/>
        <v>2.7055355331369324E-2</v>
      </c>
      <c r="G306" s="80">
        <f t="shared" si="19"/>
        <v>396.08607319439398</v>
      </c>
    </row>
    <row r="307" spans="1:7" x14ac:dyDescent="0.2">
      <c r="A307" s="156" t="s">
        <v>32</v>
      </c>
      <c r="B307" s="66" t="s">
        <v>182</v>
      </c>
      <c r="C307" s="6" t="s">
        <v>347</v>
      </c>
      <c r="D307" s="56">
        <v>41061</v>
      </c>
      <c r="E307" s="262">
        <v>1814.34</v>
      </c>
      <c r="F307" s="54">
        <f t="shared" si="18"/>
        <v>2.7055355331369324E-2</v>
      </c>
      <c r="G307" s="80">
        <f t="shared" si="19"/>
        <v>49.087613391916619</v>
      </c>
    </row>
    <row r="308" spans="1:7" x14ac:dyDescent="0.2">
      <c r="A308" s="156" t="s">
        <v>32</v>
      </c>
      <c r="B308" s="66" t="s">
        <v>216</v>
      </c>
      <c r="C308" s="6" t="s">
        <v>350</v>
      </c>
      <c r="D308" s="56">
        <v>41061</v>
      </c>
      <c r="E308" s="262">
        <v>-14.75</v>
      </c>
      <c r="F308" s="54">
        <f t="shared" si="18"/>
        <v>2.7055355331369324E-2</v>
      </c>
      <c r="G308" s="80">
        <f t="shared" si="19"/>
        <v>-0.39906649113769754</v>
      </c>
    </row>
    <row r="309" spans="1:7" x14ac:dyDescent="0.2">
      <c r="A309" s="156" t="s">
        <v>32</v>
      </c>
      <c r="B309" s="66" t="s">
        <v>217</v>
      </c>
      <c r="C309" s="6" t="s">
        <v>354</v>
      </c>
      <c r="D309" s="56">
        <v>41061</v>
      </c>
      <c r="E309" s="262">
        <v>-0.22</v>
      </c>
      <c r="F309" s="54">
        <f t="shared" si="18"/>
        <v>2.7055355331369324E-2</v>
      </c>
      <c r="G309" s="80">
        <f t="shared" si="19"/>
        <v>-5.9521781729012513E-3</v>
      </c>
    </row>
    <row r="310" spans="1:7" x14ac:dyDescent="0.2">
      <c r="A310" s="156" t="s">
        <v>32</v>
      </c>
      <c r="B310" s="66" t="s">
        <v>218</v>
      </c>
      <c r="C310" s="6" t="s">
        <v>357</v>
      </c>
      <c r="D310" s="56">
        <v>41061</v>
      </c>
      <c r="E310" s="262">
        <v>3092.3</v>
      </c>
      <c r="F310" s="54">
        <f t="shared" si="18"/>
        <v>2.7055355331369324E-2</v>
      </c>
      <c r="G310" s="80">
        <f t="shared" si="19"/>
        <v>83.663275291193372</v>
      </c>
    </row>
    <row r="311" spans="1:7" x14ac:dyDescent="0.2">
      <c r="A311" s="156" t="s">
        <v>32</v>
      </c>
      <c r="B311" s="66" t="s">
        <v>218</v>
      </c>
      <c r="C311" s="6" t="s">
        <v>357</v>
      </c>
      <c r="D311" s="56">
        <v>41091</v>
      </c>
      <c r="E311" s="262">
        <v>4347.03</v>
      </c>
      <c r="F311" s="54">
        <f t="shared" si="18"/>
        <v>2.7055355331369324E-2</v>
      </c>
      <c r="G311" s="80">
        <f t="shared" si="19"/>
        <v>117.61044128612238</v>
      </c>
    </row>
    <row r="312" spans="1:7" x14ac:dyDescent="0.2">
      <c r="A312" s="156" t="s">
        <v>32</v>
      </c>
      <c r="B312" s="66" t="s">
        <v>219</v>
      </c>
      <c r="C312" s="6" t="s">
        <v>359</v>
      </c>
      <c r="D312" s="56">
        <v>41061</v>
      </c>
      <c r="E312" s="262">
        <v>67.14</v>
      </c>
      <c r="F312" s="54">
        <f t="shared" si="18"/>
        <v>2.7055355331369324E-2</v>
      </c>
      <c r="G312" s="80">
        <f t="shared" si="19"/>
        <v>1.8164965569481364</v>
      </c>
    </row>
    <row r="313" spans="1:7" x14ac:dyDescent="0.2">
      <c r="A313" s="156" t="s">
        <v>32</v>
      </c>
      <c r="B313" s="66" t="s">
        <v>219</v>
      </c>
      <c r="C313" s="6" t="s">
        <v>359</v>
      </c>
      <c r="D313" s="56">
        <v>41091</v>
      </c>
      <c r="E313" s="262">
        <v>276.39</v>
      </c>
      <c r="F313" s="54">
        <f t="shared" si="18"/>
        <v>2.7055355331369324E-2</v>
      </c>
      <c r="G313" s="80">
        <f t="shared" si="19"/>
        <v>7.477829660037167</v>
      </c>
    </row>
    <row r="314" spans="1:7" x14ac:dyDescent="0.2">
      <c r="A314" s="156" t="s">
        <v>32</v>
      </c>
      <c r="B314" s="66" t="s">
        <v>595</v>
      </c>
      <c r="C314" s="6" t="s">
        <v>555</v>
      </c>
      <c r="D314" s="56">
        <v>41153</v>
      </c>
      <c r="E314" s="262">
        <v>269.84000000000003</v>
      </c>
      <c r="F314" s="54">
        <f t="shared" si="18"/>
        <v>2.7055355331369324E-2</v>
      </c>
      <c r="G314" s="80">
        <f t="shared" si="19"/>
        <v>7.3006170826166992</v>
      </c>
    </row>
    <row r="315" spans="1:7" x14ac:dyDescent="0.2">
      <c r="A315" s="156" t="s">
        <v>32</v>
      </c>
      <c r="B315" s="66" t="s">
        <v>182</v>
      </c>
      <c r="C315" s="6" t="s">
        <v>347</v>
      </c>
      <c r="D315" s="56">
        <v>41153</v>
      </c>
      <c r="E315" s="262">
        <v>361.16</v>
      </c>
      <c r="F315" s="54">
        <f t="shared" si="18"/>
        <v>2.7055355331369324E-2</v>
      </c>
      <c r="G315" s="80">
        <f t="shared" si="19"/>
        <v>9.7713121314773463</v>
      </c>
    </row>
    <row r="316" spans="1:7" x14ac:dyDescent="0.2">
      <c r="A316" s="156" t="s">
        <v>32</v>
      </c>
      <c r="B316" s="66" t="s">
        <v>177</v>
      </c>
      <c r="C316" s="6" t="s">
        <v>348</v>
      </c>
      <c r="D316" s="56">
        <v>41153</v>
      </c>
      <c r="E316" s="262">
        <v>2939.25</v>
      </c>
      <c r="F316" s="54">
        <f t="shared" si="18"/>
        <v>2.7055355331369324E-2</v>
      </c>
      <c r="G316" s="80">
        <f t="shared" si="19"/>
        <v>79.522453157727284</v>
      </c>
    </row>
    <row r="317" spans="1:7" x14ac:dyDescent="0.2">
      <c r="A317" s="156" t="s">
        <v>32</v>
      </c>
      <c r="B317" s="66" t="s">
        <v>216</v>
      </c>
      <c r="C317" s="6" t="s">
        <v>350</v>
      </c>
      <c r="D317" s="56">
        <v>41153</v>
      </c>
      <c r="E317" s="262">
        <v>-3513.17</v>
      </c>
      <c r="F317" s="54">
        <f t="shared" si="18"/>
        <v>2.7055355331369324E-2</v>
      </c>
      <c r="G317" s="80">
        <f t="shared" si="19"/>
        <v>-95.050062689506774</v>
      </c>
    </row>
    <row r="318" spans="1:7" x14ac:dyDescent="0.2">
      <c r="A318" s="156" t="s">
        <v>32</v>
      </c>
      <c r="B318" s="66" t="s">
        <v>218</v>
      </c>
      <c r="C318" s="6" t="s">
        <v>357</v>
      </c>
      <c r="D318" s="56">
        <v>41122</v>
      </c>
      <c r="E318" s="262">
        <v>4705.2700000000004</v>
      </c>
      <c r="F318" s="54">
        <f t="shared" si="18"/>
        <v>2.7055355331369324E-2</v>
      </c>
      <c r="G318" s="80">
        <f t="shared" si="19"/>
        <v>127.30275178003215</v>
      </c>
    </row>
    <row r="319" spans="1:7" x14ac:dyDescent="0.2">
      <c r="A319" s="156" t="s">
        <v>32</v>
      </c>
      <c r="B319" s="66" t="s">
        <v>218</v>
      </c>
      <c r="C319" s="6" t="s">
        <v>357</v>
      </c>
      <c r="D319" s="56">
        <v>41153</v>
      </c>
      <c r="E319" s="262">
        <v>2345.79</v>
      </c>
      <c r="F319" s="54">
        <f t="shared" si="18"/>
        <v>2.7055355331369324E-2</v>
      </c>
      <c r="G319" s="80">
        <f t="shared" si="19"/>
        <v>63.466181982772845</v>
      </c>
    </row>
    <row r="320" spans="1:7" x14ac:dyDescent="0.2">
      <c r="A320" s="156" t="s">
        <v>32</v>
      </c>
      <c r="B320" s="67" t="s">
        <v>218</v>
      </c>
      <c r="C320" s="6" t="s">
        <v>357</v>
      </c>
      <c r="D320" s="56">
        <v>41183</v>
      </c>
      <c r="E320" s="262">
        <v>4286.7300000000005</v>
      </c>
      <c r="F320" s="54">
        <f>$B$9</f>
        <v>2.7055355331369324E-2</v>
      </c>
      <c r="G320" s="80">
        <f t="shared" si="17"/>
        <v>115.97900335964084</v>
      </c>
    </row>
    <row r="321" spans="1:7" x14ac:dyDescent="0.2">
      <c r="A321" s="156" t="s">
        <v>32</v>
      </c>
      <c r="B321" s="66" t="s">
        <v>219</v>
      </c>
      <c r="C321" s="160" t="s">
        <v>359</v>
      </c>
      <c r="D321" s="217">
        <v>41122</v>
      </c>
      <c r="E321" s="262">
        <v>436.79</v>
      </c>
      <c r="F321" s="54">
        <f>$B$9</f>
        <v>2.7055355331369324E-2</v>
      </c>
      <c r="G321" s="80">
        <f t="shared" si="17"/>
        <v>11.817508655188808</v>
      </c>
    </row>
    <row r="322" spans="1:7" x14ac:dyDescent="0.2">
      <c r="A322" s="156" t="s">
        <v>32</v>
      </c>
      <c r="B322" s="155" t="s">
        <v>219</v>
      </c>
      <c r="C322" s="6" t="s">
        <v>359</v>
      </c>
      <c r="D322" s="56">
        <v>41153</v>
      </c>
      <c r="E322" s="167">
        <v>-755.98</v>
      </c>
      <c r="F322" s="54">
        <f>$B$9</f>
        <v>2.7055355331369324E-2</v>
      </c>
      <c r="G322" s="80">
        <f t="shared" si="17"/>
        <v>-20.453307523408583</v>
      </c>
    </row>
    <row r="323" spans="1:7" x14ac:dyDescent="0.2">
      <c r="A323" s="88"/>
      <c r="B323" s="88"/>
      <c r="C323" s="79"/>
      <c r="D323" s="82"/>
      <c r="E323" s="83"/>
    </row>
    <row r="324" spans="1:7" ht="13.5" thickBot="1" x14ac:dyDescent="0.25">
      <c r="A324" s="79"/>
      <c r="B324" s="79"/>
      <c r="C324" s="12" t="s">
        <v>25</v>
      </c>
      <c r="D324" s="82"/>
      <c r="E324" s="265">
        <f>SUM(E304:E322)</f>
        <v>49362.570000000022</v>
      </c>
      <c r="G324" s="84">
        <f>SUM(G304:G322)</f>
        <v>1335.5218714195917</v>
      </c>
    </row>
    <row r="325" spans="1:7" ht="13.5" thickTop="1" x14ac:dyDescent="0.2">
      <c r="A325" s="79"/>
      <c r="B325" s="79"/>
      <c r="C325" s="79"/>
      <c r="D325" s="82"/>
      <c r="E325" s="83"/>
    </row>
    <row r="326" spans="1:7" x14ac:dyDescent="0.2">
      <c r="A326" s="79"/>
      <c r="B326" s="79"/>
      <c r="C326" s="79"/>
      <c r="D326" s="82"/>
      <c r="E326" s="83"/>
    </row>
    <row r="327" spans="1:7" x14ac:dyDescent="0.2">
      <c r="A327" s="2" t="s">
        <v>33</v>
      </c>
      <c r="B327" s="79"/>
      <c r="C327" s="79"/>
      <c r="D327" s="82"/>
      <c r="E327" s="83"/>
    </row>
    <row r="328" spans="1:7" x14ac:dyDescent="0.2">
      <c r="A328" s="79"/>
      <c r="B328" s="79"/>
      <c r="C328" s="79"/>
      <c r="D328" s="82"/>
      <c r="E328" s="83"/>
    </row>
    <row r="329" spans="1:7" x14ac:dyDescent="0.2">
      <c r="A329" s="154">
        <v>38000</v>
      </c>
      <c r="B329" s="66" t="s">
        <v>454</v>
      </c>
      <c r="C329" s="6" t="s">
        <v>394</v>
      </c>
      <c r="D329" s="56">
        <v>41297</v>
      </c>
      <c r="E329" s="262">
        <v>3525.4700000000012</v>
      </c>
      <c r="F329" s="54">
        <f>$B$10</f>
        <v>2.6513400221759475E-2</v>
      </c>
      <c r="G329" s="80">
        <f t="shared" ref="G329" si="20">E329*F329</f>
        <v>93.472197079806406</v>
      </c>
    </row>
    <row r="330" spans="1:7" x14ac:dyDescent="0.2">
      <c r="A330" s="154">
        <v>38000</v>
      </c>
      <c r="B330" s="153" t="s">
        <v>455</v>
      </c>
      <c r="C330" s="6" t="s">
        <v>394</v>
      </c>
      <c r="D330" s="56">
        <v>41367</v>
      </c>
      <c r="E330" s="262">
        <v>9802.1700000000073</v>
      </c>
      <c r="F330" s="54">
        <f>$B$10</f>
        <v>2.6513400221759475E-2</v>
      </c>
      <c r="G330" s="80">
        <f t="shared" ref="G330:G389" si="21">E330*F330</f>
        <v>259.88885625172429</v>
      </c>
    </row>
    <row r="331" spans="1:7" x14ac:dyDescent="0.2">
      <c r="A331" s="154">
        <v>38000</v>
      </c>
      <c r="B331" s="153" t="s">
        <v>456</v>
      </c>
      <c r="C331" s="6" t="s">
        <v>394</v>
      </c>
      <c r="D331" s="56">
        <v>41428</v>
      </c>
      <c r="E331" s="262">
        <v>9238.8700000000026</v>
      </c>
      <c r="F331" s="54">
        <f t="shared" ref="F331:F386" si="22">$B$10</f>
        <v>2.6513400221759475E-2</v>
      </c>
      <c r="G331" s="80">
        <f t="shared" ref="G331:G386" si="23">E331*F331</f>
        <v>244.95385790680703</v>
      </c>
    </row>
    <row r="332" spans="1:7" x14ac:dyDescent="0.2">
      <c r="A332" s="154">
        <v>38000</v>
      </c>
      <c r="B332" s="153" t="s">
        <v>457</v>
      </c>
      <c r="C332" s="6" t="s">
        <v>394</v>
      </c>
      <c r="D332" s="56">
        <v>41297</v>
      </c>
      <c r="E332" s="262">
        <v>7398.0200000000086</v>
      </c>
      <c r="F332" s="54">
        <f t="shared" si="22"/>
        <v>2.6513400221759475E-2</v>
      </c>
      <c r="G332" s="80">
        <f t="shared" si="23"/>
        <v>196.14666510858126</v>
      </c>
    </row>
    <row r="333" spans="1:7" x14ac:dyDescent="0.2">
      <c r="A333" s="154">
        <v>38000</v>
      </c>
      <c r="B333" s="153" t="s">
        <v>458</v>
      </c>
      <c r="C333" s="6" t="s">
        <v>394</v>
      </c>
      <c r="D333" s="56">
        <v>41367</v>
      </c>
      <c r="E333" s="262">
        <v>26078.710000000006</v>
      </c>
      <c r="F333" s="54">
        <f t="shared" si="22"/>
        <v>2.6513400221759475E-2</v>
      </c>
      <c r="G333" s="80">
        <f t="shared" si="23"/>
        <v>691.43527549720125</v>
      </c>
    </row>
    <row r="334" spans="1:7" x14ac:dyDescent="0.2">
      <c r="A334" s="154">
        <v>38000</v>
      </c>
      <c r="B334" s="153" t="s">
        <v>459</v>
      </c>
      <c r="C334" s="6" t="s">
        <v>394</v>
      </c>
      <c r="D334" s="56">
        <v>41428</v>
      </c>
      <c r="E334" s="262">
        <v>13035.700000000003</v>
      </c>
      <c r="F334" s="54">
        <f t="shared" si="22"/>
        <v>2.6513400221759475E-2</v>
      </c>
      <c r="G334" s="80">
        <f t="shared" si="23"/>
        <v>345.62073127079003</v>
      </c>
    </row>
    <row r="335" spans="1:7" x14ac:dyDescent="0.2">
      <c r="A335" s="154">
        <v>38000</v>
      </c>
      <c r="B335" s="153" t="s">
        <v>460</v>
      </c>
      <c r="C335" s="6" t="s">
        <v>394</v>
      </c>
      <c r="D335" s="56">
        <v>41297</v>
      </c>
      <c r="E335" s="262">
        <v>12221.30000000001</v>
      </c>
      <c r="F335" s="54">
        <f t="shared" si="22"/>
        <v>2.6513400221759475E-2</v>
      </c>
      <c r="G335" s="80">
        <f t="shared" si="23"/>
        <v>324.02821813018932</v>
      </c>
    </row>
    <row r="336" spans="1:7" x14ac:dyDescent="0.2">
      <c r="A336" s="154">
        <v>38000</v>
      </c>
      <c r="B336" s="153" t="s">
        <v>461</v>
      </c>
      <c r="C336" s="6" t="s">
        <v>394</v>
      </c>
      <c r="D336" s="56">
        <v>41367</v>
      </c>
      <c r="E336" s="262">
        <v>7066.8200000000088</v>
      </c>
      <c r="F336" s="54">
        <f t="shared" si="22"/>
        <v>2.6513400221759475E-2</v>
      </c>
      <c r="G336" s="80">
        <f t="shared" si="23"/>
        <v>187.36542695513452</v>
      </c>
    </row>
    <row r="337" spans="1:7" x14ac:dyDescent="0.2">
      <c r="A337" s="154">
        <v>38000</v>
      </c>
      <c r="B337" s="153" t="s">
        <v>462</v>
      </c>
      <c r="C337" s="6" t="s">
        <v>394</v>
      </c>
      <c r="D337" s="56">
        <v>41428</v>
      </c>
      <c r="E337" s="262">
        <v>9872.1100000000024</v>
      </c>
      <c r="F337" s="54">
        <f t="shared" si="22"/>
        <v>2.6513400221759475E-2</v>
      </c>
      <c r="G337" s="80">
        <f t="shared" si="23"/>
        <v>261.74320346323401</v>
      </c>
    </row>
    <row r="338" spans="1:7" x14ac:dyDescent="0.2">
      <c r="A338" s="154">
        <v>38000</v>
      </c>
      <c r="B338" s="153" t="s">
        <v>463</v>
      </c>
      <c r="C338" s="6" t="s">
        <v>394</v>
      </c>
      <c r="D338" s="56">
        <v>41297</v>
      </c>
      <c r="E338" s="262">
        <v>25239.900000000009</v>
      </c>
      <c r="F338" s="54">
        <f t="shared" si="22"/>
        <v>2.6513400221759475E-2</v>
      </c>
      <c r="G338" s="80">
        <f t="shared" si="23"/>
        <v>669.19557025718723</v>
      </c>
    </row>
    <row r="339" spans="1:7" x14ac:dyDescent="0.2">
      <c r="A339" s="154">
        <v>38000</v>
      </c>
      <c r="B339" s="153" t="s">
        <v>464</v>
      </c>
      <c r="C339" s="6" t="s">
        <v>394</v>
      </c>
      <c r="D339" s="56">
        <v>41377</v>
      </c>
      <c r="E339" s="262">
        <v>32120.210000000021</v>
      </c>
      <c r="F339" s="54">
        <f t="shared" si="22"/>
        <v>2.6513400221759475E-2</v>
      </c>
      <c r="G339" s="80">
        <f t="shared" si="23"/>
        <v>851.61598293696147</v>
      </c>
    </row>
    <row r="340" spans="1:7" x14ac:dyDescent="0.2">
      <c r="A340" s="154">
        <v>38000</v>
      </c>
      <c r="B340" s="153" t="s">
        <v>465</v>
      </c>
      <c r="C340" s="6" t="s">
        <v>394</v>
      </c>
      <c r="D340" s="56">
        <v>41428</v>
      </c>
      <c r="E340" s="262">
        <v>22520.710000000003</v>
      </c>
      <c r="F340" s="54">
        <f t="shared" si="22"/>
        <v>2.6513400221759475E-2</v>
      </c>
      <c r="G340" s="80">
        <f t="shared" si="23"/>
        <v>597.10059750818084</v>
      </c>
    </row>
    <row r="341" spans="1:7" x14ac:dyDescent="0.2">
      <c r="A341" s="154" t="s">
        <v>32</v>
      </c>
      <c r="B341" s="153" t="s">
        <v>256</v>
      </c>
      <c r="C341" s="6" t="s">
        <v>289</v>
      </c>
      <c r="D341" s="56">
        <v>41061</v>
      </c>
      <c r="E341" s="262">
        <v>2573.4299999999998</v>
      </c>
      <c r="F341" s="54">
        <f t="shared" si="22"/>
        <v>2.6513400221759475E-2</v>
      </c>
      <c r="G341" s="80">
        <f t="shared" si="23"/>
        <v>68.230379532682477</v>
      </c>
    </row>
    <row r="342" spans="1:7" x14ac:dyDescent="0.2">
      <c r="A342" s="154" t="s">
        <v>32</v>
      </c>
      <c r="B342" s="153" t="s">
        <v>256</v>
      </c>
      <c r="C342" s="6" t="s">
        <v>289</v>
      </c>
      <c r="D342" s="56">
        <v>41091</v>
      </c>
      <c r="E342" s="262">
        <v>943.96</v>
      </c>
      <c r="F342" s="54">
        <f t="shared" si="22"/>
        <v>2.6513400221759475E-2</v>
      </c>
      <c r="G342" s="80">
        <f t="shared" si="23"/>
        <v>25.027589273332076</v>
      </c>
    </row>
    <row r="343" spans="1:7" x14ac:dyDescent="0.2">
      <c r="A343" s="154" t="s">
        <v>32</v>
      </c>
      <c r="B343" s="153" t="s">
        <v>257</v>
      </c>
      <c r="C343" s="6" t="s">
        <v>291</v>
      </c>
      <c r="D343" s="56">
        <v>41061</v>
      </c>
      <c r="E343" s="262">
        <v>12036.619999999999</v>
      </c>
      <c r="F343" s="54">
        <f t="shared" si="22"/>
        <v>2.6513400221759475E-2</v>
      </c>
      <c r="G343" s="80">
        <f t="shared" si="23"/>
        <v>319.13172337723449</v>
      </c>
    </row>
    <row r="344" spans="1:7" x14ac:dyDescent="0.2">
      <c r="A344" s="154" t="s">
        <v>32</v>
      </c>
      <c r="B344" s="153" t="s">
        <v>257</v>
      </c>
      <c r="C344" s="6" t="s">
        <v>291</v>
      </c>
      <c r="D344" s="56">
        <v>41091</v>
      </c>
      <c r="E344" s="262">
        <v>14766.17</v>
      </c>
      <c r="F344" s="54">
        <f t="shared" si="22"/>
        <v>2.6513400221759475E-2</v>
      </c>
      <c r="G344" s="80">
        <f t="shared" si="23"/>
        <v>391.50137495253813</v>
      </c>
    </row>
    <row r="345" spans="1:7" x14ac:dyDescent="0.2">
      <c r="A345" s="154" t="s">
        <v>32</v>
      </c>
      <c r="B345" s="153" t="s">
        <v>258</v>
      </c>
      <c r="C345" s="6" t="s">
        <v>293</v>
      </c>
      <c r="D345" s="56">
        <v>41061</v>
      </c>
      <c r="E345" s="262">
        <v>11588.220000000001</v>
      </c>
      <c r="F345" s="54">
        <f t="shared" si="22"/>
        <v>2.6513400221759475E-2</v>
      </c>
      <c r="G345" s="80">
        <f t="shared" si="23"/>
        <v>307.2431147177976</v>
      </c>
    </row>
    <row r="346" spans="1:7" x14ac:dyDescent="0.2">
      <c r="A346" s="154" t="s">
        <v>32</v>
      </c>
      <c r="B346" s="153" t="s">
        <v>258</v>
      </c>
      <c r="C346" s="6" t="s">
        <v>293</v>
      </c>
      <c r="D346" s="56">
        <v>41091</v>
      </c>
      <c r="E346" s="262">
        <v>10907.32</v>
      </c>
      <c r="F346" s="54">
        <f t="shared" si="22"/>
        <v>2.6513400221759475E-2</v>
      </c>
      <c r="G346" s="80">
        <f t="shared" si="23"/>
        <v>289.19014050680153</v>
      </c>
    </row>
    <row r="347" spans="1:7" x14ac:dyDescent="0.2">
      <c r="A347" s="154" t="s">
        <v>32</v>
      </c>
      <c r="B347" s="153" t="s">
        <v>259</v>
      </c>
      <c r="C347" s="6" t="s">
        <v>294</v>
      </c>
      <c r="D347" s="56">
        <v>41061</v>
      </c>
      <c r="E347" s="262">
        <v>3000.18</v>
      </c>
      <c r="F347" s="54">
        <f t="shared" si="22"/>
        <v>2.6513400221759475E-2</v>
      </c>
      <c r="G347" s="80">
        <f t="shared" si="23"/>
        <v>79.544973077318332</v>
      </c>
    </row>
    <row r="348" spans="1:7" x14ac:dyDescent="0.2">
      <c r="A348" s="154" t="s">
        <v>32</v>
      </c>
      <c r="B348" s="153" t="s">
        <v>259</v>
      </c>
      <c r="C348" s="6" t="s">
        <v>294</v>
      </c>
      <c r="D348" s="56">
        <v>41091</v>
      </c>
      <c r="E348" s="262">
        <v>5269.1900000000014</v>
      </c>
      <c r="F348" s="54">
        <f t="shared" si="22"/>
        <v>2.6513400221759475E-2</v>
      </c>
      <c r="G348" s="80">
        <f t="shared" si="23"/>
        <v>139.70414331449285</v>
      </c>
    </row>
    <row r="349" spans="1:7" x14ac:dyDescent="0.2">
      <c r="A349" s="154" t="s">
        <v>32</v>
      </c>
      <c r="B349" s="153" t="s">
        <v>260</v>
      </c>
      <c r="C349" s="6" t="s">
        <v>322</v>
      </c>
      <c r="D349" s="56">
        <v>41061</v>
      </c>
      <c r="E349" s="262">
        <v>165.45</v>
      </c>
      <c r="F349" s="54">
        <f t="shared" si="22"/>
        <v>2.6513400221759475E-2</v>
      </c>
      <c r="G349" s="80">
        <f t="shared" si="23"/>
        <v>4.3866420666901051</v>
      </c>
    </row>
    <row r="350" spans="1:7" x14ac:dyDescent="0.2">
      <c r="A350" s="154" t="s">
        <v>32</v>
      </c>
      <c r="B350" s="153" t="s">
        <v>260</v>
      </c>
      <c r="C350" s="6" t="s">
        <v>322</v>
      </c>
      <c r="D350" s="56">
        <v>41091</v>
      </c>
      <c r="E350" s="262">
        <v>-123.85</v>
      </c>
      <c r="F350" s="54">
        <f t="shared" si="22"/>
        <v>2.6513400221759475E-2</v>
      </c>
      <c r="G350" s="80">
        <f t="shared" si="23"/>
        <v>-3.2836846174649108</v>
      </c>
    </row>
    <row r="351" spans="1:7" x14ac:dyDescent="0.2">
      <c r="A351" s="154" t="s">
        <v>32</v>
      </c>
      <c r="B351" s="153" t="s">
        <v>361</v>
      </c>
      <c r="C351" s="6" t="s">
        <v>324</v>
      </c>
      <c r="D351" s="56">
        <v>41061</v>
      </c>
      <c r="E351" s="262">
        <v>1524.35</v>
      </c>
      <c r="F351" s="54">
        <f t="shared" si="22"/>
        <v>2.6513400221759475E-2</v>
      </c>
      <c r="G351" s="80">
        <f t="shared" si="23"/>
        <v>40.415701628039052</v>
      </c>
    </row>
    <row r="352" spans="1:7" x14ac:dyDescent="0.2">
      <c r="A352" s="154" t="s">
        <v>32</v>
      </c>
      <c r="B352" s="153" t="s">
        <v>361</v>
      </c>
      <c r="C352" s="6" t="s">
        <v>324</v>
      </c>
      <c r="D352" s="56">
        <v>41091</v>
      </c>
      <c r="E352" s="262">
        <v>-566.15000000000009</v>
      </c>
      <c r="F352" s="54">
        <f t="shared" si="22"/>
        <v>2.6513400221759475E-2</v>
      </c>
      <c r="G352" s="80">
        <f t="shared" si="23"/>
        <v>-15.01056153554913</v>
      </c>
    </row>
    <row r="353" spans="1:7" x14ac:dyDescent="0.2">
      <c r="A353" s="154" t="s">
        <v>32</v>
      </c>
      <c r="B353" s="153" t="s">
        <v>261</v>
      </c>
      <c r="C353" s="6" t="s">
        <v>326</v>
      </c>
      <c r="D353" s="56">
        <v>41061</v>
      </c>
      <c r="E353" s="262">
        <v>29874.400000000001</v>
      </c>
      <c r="F353" s="54">
        <f t="shared" si="22"/>
        <v>2.6513400221759475E-2</v>
      </c>
      <c r="G353" s="80">
        <f t="shared" si="23"/>
        <v>792.07192358493126</v>
      </c>
    </row>
    <row r="354" spans="1:7" x14ac:dyDescent="0.2">
      <c r="A354" s="154" t="s">
        <v>32</v>
      </c>
      <c r="B354" s="153" t="s">
        <v>261</v>
      </c>
      <c r="C354" s="6" t="s">
        <v>326</v>
      </c>
      <c r="D354" s="56">
        <v>41091</v>
      </c>
      <c r="E354" s="262">
        <v>210.76</v>
      </c>
      <c r="F354" s="54">
        <f t="shared" si="22"/>
        <v>2.6513400221759475E-2</v>
      </c>
      <c r="G354" s="80">
        <f t="shared" si="23"/>
        <v>5.5879642307380264</v>
      </c>
    </row>
    <row r="355" spans="1:7" x14ac:dyDescent="0.2">
      <c r="A355" s="154" t="s">
        <v>32</v>
      </c>
      <c r="B355" s="153" t="s">
        <v>262</v>
      </c>
      <c r="C355" s="6" t="s">
        <v>327</v>
      </c>
      <c r="D355" s="56">
        <v>41061</v>
      </c>
      <c r="E355" s="262">
        <v>3277.54</v>
      </c>
      <c r="F355" s="54">
        <f t="shared" si="22"/>
        <v>2.6513400221759475E-2</v>
      </c>
      <c r="G355" s="80">
        <f t="shared" si="23"/>
        <v>86.898729762825553</v>
      </c>
    </row>
    <row r="356" spans="1:7" x14ac:dyDescent="0.2">
      <c r="A356" s="154" t="s">
        <v>32</v>
      </c>
      <c r="B356" s="153" t="s">
        <v>262</v>
      </c>
      <c r="C356" s="6" t="s">
        <v>327</v>
      </c>
      <c r="D356" s="56">
        <v>41091</v>
      </c>
      <c r="E356" s="262">
        <v>826.48000000000013</v>
      </c>
      <c r="F356" s="54">
        <f t="shared" si="22"/>
        <v>2.6513400221759475E-2</v>
      </c>
      <c r="G356" s="80">
        <f t="shared" si="23"/>
        <v>21.912795015279773</v>
      </c>
    </row>
    <row r="357" spans="1:7" x14ac:dyDescent="0.2">
      <c r="A357" s="154" t="s">
        <v>32</v>
      </c>
      <c r="B357" s="153" t="s">
        <v>589</v>
      </c>
      <c r="C357" s="6" t="s">
        <v>266</v>
      </c>
      <c r="D357" s="56">
        <v>41153</v>
      </c>
      <c r="E357" s="262">
        <v>313.03000000000003</v>
      </c>
      <c r="F357" s="54">
        <f t="shared" si="22"/>
        <v>2.6513400221759475E-2</v>
      </c>
      <c r="G357" s="80">
        <f t="shared" si="23"/>
        <v>8.2994896714173692</v>
      </c>
    </row>
    <row r="358" spans="1:7" x14ac:dyDescent="0.2">
      <c r="A358" s="154" t="s">
        <v>32</v>
      </c>
      <c r="B358" s="153" t="s">
        <v>596</v>
      </c>
      <c r="C358" s="6" t="s">
        <v>267</v>
      </c>
      <c r="D358" s="56">
        <v>41153</v>
      </c>
      <c r="E358" s="262">
        <v>516.65</v>
      </c>
      <c r="F358" s="54">
        <f t="shared" si="22"/>
        <v>2.6513400221759475E-2</v>
      </c>
      <c r="G358" s="80">
        <f t="shared" si="23"/>
        <v>13.698148224572032</v>
      </c>
    </row>
    <row r="359" spans="1:7" x14ac:dyDescent="0.2">
      <c r="A359" s="154" t="s">
        <v>32</v>
      </c>
      <c r="B359" s="153" t="s">
        <v>597</v>
      </c>
      <c r="C359" s="6" t="s">
        <v>269</v>
      </c>
      <c r="D359" s="56">
        <v>41153</v>
      </c>
      <c r="E359" s="262">
        <v>7551.45</v>
      </c>
      <c r="F359" s="54">
        <f t="shared" si="22"/>
        <v>2.6513400221759475E-2</v>
      </c>
      <c r="G359" s="80">
        <f t="shared" si="23"/>
        <v>200.21461610460557</v>
      </c>
    </row>
    <row r="360" spans="1:7" x14ac:dyDescent="0.2">
      <c r="A360" s="154" t="s">
        <v>32</v>
      </c>
      <c r="B360" s="153" t="s">
        <v>590</v>
      </c>
      <c r="C360" s="6" t="s">
        <v>270</v>
      </c>
      <c r="D360" s="56">
        <v>41153</v>
      </c>
      <c r="E360" s="262">
        <v>425.69</v>
      </c>
      <c r="F360" s="54">
        <f t="shared" si="22"/>
        <v>2.6513400221759475E-2</v>
      </c>
      <c r="G360" s="80">
        <f t="shared" si="23"/>
        <v>11.286489340400792</v>
      </c>
    </row>
    <row r="361" spans="1:7" x14ac:dyDescent="0.2">
      <c r="A361" s="154" t="s">
        <v>32</v>
      </c>
      <c r="B361" s="153" t="s">
        <v>588</v>
      </c>
      <c r="C361" s="6" t="s">
        <v>272</v>
      </c>
      <c r="D361" s="56">
        <v>41153</v>
      </c>
      <c r="E361" s="262">
        <v>217.06</v>
      </c>
      <c r="F361" s="54">
        <f t="shared" si="22"/>
        <v>2.6513400221759475E-2</v>
      </c>
      <c r="G361" s="80">
        <f t="shared" si="23"/>
        <v>5.7549986521351117</v>
      </c>
    </row>
    <row r="362" spans="1:7" x14ac:dyDescent="0.2">
      <c r="A362" s="154" t="s">
        <v>32</v>
      </c>
      <c r="B362" s="153" t="s">
        <v>591</v>
      </c>
      <c r="C362" s="6" t="s">
        <v>273</v>
      </c>
      <c r="D362" s="56">
        <v>41153</v>
      </c>
      <c r="E362" s="262">
        <v>5162.13</v>
      </c>
      <c r="F362" s="54">
        <f t="shared" si="22"/>
        <v>2.6513400221759475E-2</v>
      </c>
      <c r="G362" s="80">
        <f t="shared" si="23"/>
        <v>136.86561868675125</v>
      </c>
    </row>
    <row r="363" spans="1:7" x14ac:dyDescent="0.2">
      <c r="A363" s="154" t="s">
        <v>32</v>
      </c>
      <c r="B363" s="153" t="s">
        <v>183</v>
      </c>
      <c r="C363" s="6" t="s">
        <v>275</v>
      </c>
      <c r="D363" s="56">
        <v>41153</v>
      </c>
      <c r="E363" s="262">
        <v>1305.52</v>
      </c>
      <c r="F363" s="54">
        <f t="shared" si="22"/>
        <v>2.6513400221759475E-2</v>
      </c>
      <c r="G363" s="80">
        <f t="shared" si="23"/>
        <v>34.61377425751143</v>
      </c>
    </row>
    <row r="364" spans="1:7" x14ac:dyDescent="0.2">
      <c r="A364" s="154" t="s">
        <v>32</v>
      </c>
      <c r="B364" s="153" t="s">
        <v>190</v>
      </c>
      <c r="C364" s="6" t="s">
        <v>277</v>
      </c>
      <c r="D364" s="56">
        <v>41153</v>
      </c>
      <c r="E364" s="262">
        <v>940.82</v>
      </c>
      <c r="F364" s="54">
        <f t="shared" si="22"/>
        <v>2.6513400221759475E-2</v>
      </c>
      <c r="G364" s="80">
        <f t="shared" si="23"/>
        <v>24.94433719663575</v>
      </c>
    </row>
    <row r="365" spans="1:7" x14ac:dyDescent="0.2">
      <c r="A365" s="154" t="s">
        <v>32</v>
      </c>
      <c r="B365" s="153" t="s">
        <v>191</v>
      </c>
      <c r="C365" s="6" t="s">
        <v>278</v>
      </c>
      <c r="D365" s="56">
        <v>41153</v>
      </c>
      <c r="E365" s="262">
        <v>7095.03</v>
      </c>
      <c r="F365" s="54">
        <f t="shared" si="22"/>
        <v>2.6513400221759475E-2</v>
      </c>
      <c r="G365" s="80">
        <f t="shared" si="23"/>
        <v>188.11336997539013</v>
      </c>
    </row>
    <row r="366" spans="1:7" x14ac:dyDescent="0.2">
      <c r="A366" s="154" t="s">
        <v>32</v>
      </c>
      <c r="B366" s="153" t="s">
        <v>192</v>
      </c>
      <c r="C366" s="6" t="s">
        <v>280</v>
      </c>
      <c r="D366" s="56">
        <v>41153</v>
      </c>
      <c r="E366" s="262">
        <v>368.1</v>
      </c>
      <c r="F366" s="54">
        <f t="shared" si="22"/>
        <v>2.6513400221759475E-2</v>
      </c>
      <c r="G366" s="80">
        <f t="shared" si="23"/>
        <v>9.7595826216296633</v>
      </c>
    </row>
    <row r="367" spans="1:7" x14ac:dyDescent="0.2">
      <c r="A367" s="154" t="s">
        <v>32</v>
      </c>
      <c r="B367" s="153" t="s">
        <v>193</v>
      </c>
      <c r="C367" s="6" t="s">
        <v>281</v>
      </c>
      <c r="D367" s="56">
        <v>41153</v>
      </c>
      <c r="E367" s="262">
        <v>6486.2300000000005</v>
      </c>
      <c r="F367" s="54">
        <f t="shared" si="22"/>
        <v>2.6513400221759475E-2</v>
      </c>
      <c r="G367" s="80">
        <f t="shared" si="23"/>
        <v>171.97201192038298</v>
      </c>
    </row>
    <row r="368" spans="1:7" x14ac:dyDescent="0.2">
      <c r="A368" s="154" t="s">
        <v>32</v>
      </c>
      <c r="B368" s="153" t="s">
        <v>256</v>
      </c>
      <c r="C368" s="6" t="s">
        <v>289</v>
      </c>
      <c r="D368" s="56">
        <v>41122</v>
      </c>
      <c r="E368" s="262">
        <v>6532.92</v>
      </c>
      <c r="F368" s="54">
        <f t="shared" si="22"/>
        <v>2.6513400221759475E-2</v>
      </c>
      <c r="G368" s="80">
        <f t="shared" si="23"/>
        <v>173.20992257673691</v>
      </c>
    </row>
    <row r="369" spans="1:7" x14ac:dyDescent="0.2">
      <c r="A369" s="154" t="s">
        <v>32</v>
      </c>
      <c r="B369" s="153" t="s">
        <v>256</v>
      </c>
      <c r="C369" s="6" t="s">
        <v>289</v>
      </c>
      <c r="D369" s="56">
        <v>41153</v>
      </c>
      <c r="E369" s="262">
        <v>26748.07</v>
      </c>
      <c r="F369" s="54">
        <f t="shared" si="22"/>
        <v>2.6513400221759475E-2</v>
      </c>
      <c r="G369" s="80">
        <f t="shared" si="23"/>
        <v>709.18228506963794</v>
      </c>
    </row>
    <row r="370" spans="1:7" x14ac:dyDescent="0.2">
      <c r="A370" s="154" t="s">
        <v>32</v>
      </c>
      <c r="B370" s="153" t="s">
        <v>256</v>
      </c>
      <c r="C370" s="6" t="s">
        <v>289</v>
      </c>
      <c r="D370" s="56">
        <v>41183</v>
      </c>
      <c r="E370" s="262">
        <v>1135.21</v>
      </c>
      <c r="F370" s="54">
        <f t="shared" si="22"/>
        <v>2.6513400221759475E-2</v>
      </c>
      <c r="G370" s="80">
        <f t="shared" si="23"/>
        <v>30.098277065743574</v>
      </c>
    </row>
    <row r="371" spans="1:7" x14ac:dyDescent="0.2">
      <c r="A371" s="154" t="s">
        <v>32</v>
      </c>
      <c r="B371" s="153" t="s">
        <v>257</v>
      </c>
      <c r="C371" s="6" t="s">
        <v>291</v>
      </c>
      <c r="D371" s="56">
        <v>41122</v>
      </c>
      <c r="E371" s="262">
        <v>1532.14</v>
      </c>
      <c r="F371" s="54">
        <f t="shared" si="22"/>
        <v>2.6513400221759475E-2</v>
      </c>
      <c r="G371" s="80">
        <f t="shared" si="23"/>
        <v>40.622241015766562</v>
      </c>
    </row>
    <row r="372" spans="1:7" x14ac:dyDescent="0.2">
      <c r="A372" s="154" t="s">
        <v>32</v>
      </c>
      <c r="B372" s="153" t="s">
        <v>257</v>
      </c>
      <c r="C372" s="6" t="s">
        <v>291</v>
      </c>
      <c r="D372" s="56">
        <v>41153</v>
      </c>
      <c r="E372" s="262">
        <v>14256.61</v>
      </c>
      <c r="F372" s="54">
        <f t="shared" si="22"/>
        <v>2.6513400221759475E-2</v>
      </c>
      <c r="G372" s="80">
        <f t="shared" si="23"/>
        <v>377.99120673553836</v>
      </c>
    </row>
    <row r="373" spans="1:7" x14ac:dyDescent="0.2">
      <c r="A373" s="154" t="s">
        <v>32</v>
      </c>
      <c r="B373" s="153" t="s">
        <v>257</v>
      </c>
      <c r="C373" s="6" t="s">
        <v>291</v>
      </c>
      <c r="D373" s="56">
        <v>41183</v>
      </c>
      <c r="E373" s="262">
        <v>11621.41</v>
      </c>
      <c r="F373" s="54">
        <f t="shared" si="22"/>
        <v>2.6513400221759475E-2</v>
      </c>
      <c r="G373" s="80">
        <f t="shared" si="23"/>
        <v>308.1230944711578</v>
      </c>
    </row>
    <row r="374" spans="1:7" x14ac:dyDescent="0.2">
      <c r="A374" s="154" t="s">
        <v>32</v>
      </c>
      <c r="B374" s="153" t="s">
        <v>258</v>
      </c>
      <c r="C374" s="6" t="s">
        <v>293</v>
      </c>
      <c r="D374" s="56">
        <v>41122</v>
      </c>
      <c r="E374" s="262">
        <v>7311.9000000000005</v>
      </c>
      <c r="F374" s="54">
        <f t="shared" si="22"/>
        <v>2.6513400221759475E-2</v>
      </c>
      <c r="G374" s="80">
        <f t="shared" si="23"/>
        <v>193.86333108148312</v>
      </c>
    </row>
    <row r="375" spans="1:7" x14ac:dyDescent="0.2">
      <c r="A375" s="154" t="s">
        <v>32</v>
      </c>
      <c r="B375" s="153" t="s">
        <v>258</v>
      </c>
      <c r="C375" s="6" t="s">
        <v>293</v>
      </c>
      <c r="D375" s="56">
        <v>41153</v>
      </c>
      <c r="E375" s="262">
        <v>2239.96</v>
      </c>
      <c r="F375" s="54">
        <f t="shared" si="22"/>
        <v>2.6513400221759475E-2</v>
      </c>
      <c r="G375" s="80">
        <f t="shared" si="23"/>
        <v>59.388955960732353</v>
      </c>
    </row>
    <row r="376" spans="1:7" x14ac:dyDescent="0.2">
      <c r="A376" s="154" t="s">
        <v>32</v>
      </c>
      <c r="B376" s="153" t="s">
        <v>258</v>
      </c>
      <c r="C376" s="6" t="s">
        <v>293</v>
      </c>
      <c r="D376" s="56">
        <v>41183</v>
      </c>
      <c r="E376" s="262">
        <v>5838.76</v>
      </c>
      <c r="F376" s="54">
        <f t="shared" si="22"/>
        <v>2.6513400221759475E-2</v>
      </c>
      <c r="G376" s="80">
        <f t="shared" si="23"/>
        <v>154.80538067880036</v>
      </c>
    </row>
    <row r="377" spans="1:7" x14ac:dyDescent="0.2">
      <c r="A377" s="154" t="s">
        <v>32</v>
      </c>
      <c r="B377" s="153" t="s">
        <v>259</v>
      </c>
      <c r="C377" s="6" t="s">
        <v>294</v>
      </c>
      <c r="D377" s="56">
        <v>41122</v>
      </c>
      <c r="E377" s="262">
        <v>1364.8</v>
      </c>
      <c r="F377" s="54">
        <f t="shared" si="22"/>
        <v>2.6513400221759475E-2</v>
      </c>
      <c r="G377" s="80">
        <f t="shared" si="23"/>
        <v>36.185488622657331</v>
      </c>
    </row>
    <row r="378" spans="1:7" x14ac:dyDescent="0.2">
      <c r="A378" s="154" t="s">
        <v>32</v>
      </c>
      <c r="B378" s="153" t="s">
        <v>259</v>
      </c>
      <c r="C378" s="6" t="s">
        <v>294</v>
      </c>
      <c r="D378" s="56">
        <v>41153</v>
      </c>
      <c r="E378" s="262">
        <v>6306.1</v>
      </c>
      <c r="F378" s="54">
        <f t="shared" si="22"/>
        <v>2.6513400221759475E-2</v>
      </c>
      <c r="G378" s="80">
        <f t="shared" si="23"/>
        <v>167.19615313843744</v>
      </c>
    </row>
    <row r="379" spans="1:7" x14ac:dyDescent="0.2">
      <c r="A379" s="154" t="s">
        <v>32</v>
      </c>
      <c r="B379" s="153" t="s">
        <v>259</v>
      </c>
      <c r="C379" s="6" t="s">
        <v>294</v>
      </c>
      <c r="D379" s="56">
        <v>41183</v>
      </c>
      <c r="E379" s="262">
        <v>4919.57</v>
      </c>
      <c r="F379" s="54">
        <f t="shared" si="22"/>
        <v>2.6513400221759475E-2</v>
      </c>
      <c r="G379" s="80">
        <f t="shared" si="23"/>
        <v>130.43452832896125</v>
      </c>
    </row>
    <row r="380" spans="1:7" x14ac:dyDescent="0.2">
      <c r="A380" s="154" t="s">
        <v>32</v>
      </c>
      <c r="B380" s="153" t="s">
        <v>260</v>
      </c>
      <c r="C380" s="6" t="s">
        <v>322</v>
      </c>
      <c r="D380" s="56">
        <v>41122</v>
      </c>
      <c r="E380" s="262">
        <v>283.39</v>
      </c>
      <c r="F380" s="54">
        <f t="shared" si="22"/>
        <v>2.6513400221759475E-2</v>
      </c>
      <c r="G380" s="80">
        <f t="shared" si="23"/>
        <v>7.5136324888444168</v>
      </c>
    </row>
    <row r="381" spans="1:7" x14ac:dyDescent="0.2">
      <c r="A381" s="154" t="s">
        <v>32</v>
      </c>
      <c r="B381" s="153" t="s">
        <v>260</v>
      </c>
      <c r="C381" s="6" t="s">
        <v>322</v>
      </c>
      <c r="D381" s="56">
        <v>41153</v>
      </c>
      <c r="E381" s="262">
        <v>-7885.47</v>
      </c>
      <c r="F381" s="54">
        <f t="shared" si="22"/>
        <v>2.6513400221759475E-2</v>
      </c>
      <c r="G381" s="80">
        <f t="shared" si="23"/>
        <v>-209.0706220466777</v>
      </c>
    </row>
    <row r="382" spans="1:7" x14ac:dyDescent="0.2">
      <c r="A382" s="154" t="s">
        <v>32</v>
      </c>
      <c r="B382" s="153" t="s">
        <v>260</v>
      </c>
      <c r="C382" s="6" t="s">
        <v>322</v>
      </c>
      <c r="D382" s="56">
        <v>41183</v>
      </c>
      <c r="E382" s="262">
        <v>123.31</v>
      </c>
      <c r="F382" s="54">
        <f t="shared" si="22"/>
        <v>2.6513400221759475E-2</v>
      </c>
      <c r="G382" s="80">
        <f t="shared" si="23"/>
        <v>3.2693673813451607</v>
      </c>
    </row>
    <row r="383" spans="1:7" x14ac:dyDescent="0.2">
      <c r="A383" s="154" t="s">
        <v>32</v>
      </c>
      <c r="B383" s="153" t="s">
        <v>361</v>
      </c>
      <c r="C383" s="6" t="s">
        <v>324</v>
      </c>
      <c r="D383" s="56">
        <v>41122</v>
      </c>
      <c r="E383" s="262">
        <v>7798.32</v>
      </c>
      <c r="F383" s="54">
        <f t="shared" si="22"/>
        <v>2.6513400221759475E-2</v>
      </c>
      <c r="G383" s="80">
        <f t="shared" si="23"/>
        <v>206.75997921735134</v>
      </c>
    </row>
    <row r="384" spans="1:7" x14ac:dyDescent="0.2">
      <c r="A384" s="154" t="s">
        <v>32</v>
      </c>
      <c r="B384" s="153" t="s">
        <v>361</v>
      </c>
      <c r="C384" s="6" t="s">
        <v>324</v>
      </c>
      <c r="D384" s="56">
        <v>41153</v>
      </c>
      <c r="E384" s="262">
        <v>6064.81</v>
      </c>
      <c r="F384" s="54">
        <f t="shared" si="22"/>
        <v>2.6513400221759475E-2</v>
      </c>
      <c r="G384" s="80">
        <f t="shared" si="23"/>
        <v>160.7987347989291</v>
      </c>
    </row>
    <row r="385" spans="1:7" x14ac:dyDescent="0.2">
      <c r="A385" s="154" t="s">
        <v>32</v>
      </c>
      <c r="B385" s="153" t="s">
        <v>361</v>
      </c>
      <c r="C385" s="6" t="s">
        <v>324</v>
      </c>
      <c r="D385" s="56">
        <v>41183</v>
      </c>
      <c r="E385" s="262">
        <v>2790.52</v>
      </c>
      <c r="F385" s="54">
        <f t="shared" si="22"/>
        <v>2.6513400221759475E-2</v>
      </c>
      <c r="G385" s="80">
        <f t="shared" si="23"/>
        <v>73.98617358682425</v>
      </c>
    </row>
    <row r="386" spans="1:7" x14ac:dyDescent="0.2">
      <c r="A386" s="154" t="s">
        <v>32</v>
      </c>
      <c r="B386" s="153" t="s">
        <v>261</v>
      </c>
      <c r="C386" s="6" t="s">
        <v>326</v>
      </c>
      <c r="D386" s="56">
        <v>41122</v>
      </c>
      <c r="E386" s="262">
        <v>254.72</v>
      </c>
      <c r="F386" s="54">
        <f t="shared" si="22"/>
        <v>2.6513400221759475E-2</v>
      </c>
      <c r="G386" s="80">
        <f t="shared" si="23"/>
        <v>6.7534933044865735</v>
      </c>
    </row>
    <row r="387" spans="1:7" x14ac:dyDescent="0.2">
      <c r="A387" s="154" t="s">
        <v>32</v>
      </c>
      <c r="B387" s="153" t="s">
        <v>261</v>
      </c>
      <c r="C387" s="6" t="s">
        <v>326</v>
      </c>
      <c r="D387" s="56">
        <v>41153</v>
      </c>
      <c r="E387" s="262">
        <v>3938.35</v>
      </c>
      <c r="F387" s="54">
        <f>$B$10</f>
        <v>2.6513400221759475E-2</v>
      </c>
      <c r="G387" s="80">
        <f t="shared" si="21"/>
        <v>104.41904976336643</v>
      </c>
    </row>
    <row r="388" spans="1:7" x14ac:dyDescent="0.2">
      <c r="A388" s="154" t="s">
        <v>32</v>
      </c>
      <c r="B388" s="155" t="s">
        <v>262</v>
      </c>
      <c r="C388" s="6" t="s">
        <v>327</v>
      </c>
      <c r="D388" s="56">
        <v>41122</v>
      </c>
      <c r="E388" s="262">
        <v>166.65</v>
      </c>
      <c r="F388" s="54">
        <f>$B$10</f>
        <v>2.6513400221759475E-2</v>
      </c>
      <c r="G388" s="80">
        <f t="shared" si="21"/>
        <v>4.4184581469562163</v>
      </c>
    </row>
    <row r="389" spans="1:7" x14ac:dyDescent="0.2">
      <c r="A389" s="154" t="s">
        <v>32</v>
      </c>
      <c r="B389" s="155" t="s">
        <v>262</v>
      </c>
      <c r="C389" s="6" t="s">
        <v>327</v>
      </c>
      <c r="D389" s="56">
        <v>41153</v>
      </c>
      <c r="E389" s="167">
        <v>-6994.4000000000005</v>
      </c>
      <c r="F389" s="54">
        <f>$B$10</f>
        <v>2.6513400221759475E-2</v>
      </c>
      <c r="G389" s="80">
        <f t="shared" si="21"/>
        <v>-185.44532651107448</v>
      </c>
    </row>
    <row r="390" spans="1:7" x14ac:dyDescent="0.2">
      <c r="A390" s="79"/>
      <c r="B390" s="79"/>
      <c r="C390" s="79"/>
      <c r="D390" s="82"/>
      <c r="E390" s="83"/>
    </row>
    <row r="391" spans="1:7" ht="13.5" thickBot="1" x14ac:dyDescent="0.25">
      <c r="A391" s="79"/>
      <c r="B391" s="79"/>
      <c r="C391" s="12" t="s">
        <v>27</v>
      </c>
      <c r="D391" s="82"/>
      <c r="E391" s="265">
        <f>SUM(E329:E389)</f>
        <v>401123.42000000016</v>
      </c>
      <c r="G391" s="84">
        <f>SUM(G329:G389)</f>
        <v>10635.145772780914</v>
      </c>
    </row>
    <row r="392" spans="1:7" ht="13.5" thickTop="1" x14ac:dyDescent="0.2">
      <c r="A392" s="79"/>
      <c r="B392" s="79"/>
      <c r="C392" s="79"/>
      <c r="D392" s="82"/>
      <c r="E392" s="83"/>
    </row>
    <row r="393" spans="1:7" x14ac:dyDescent="0.2">
      <c r="A393" s="79"/>
      <c r="B393" s="79"/>
      <c r="C393" s="79"/>
      <c r="D393" s="82"/>
      <c r="E393" s="83"/>
    </row>
    <row r="394" spans="1:7" x14ac:dyDescent="0.2">
      <c r="A394" s="2" t="s">
        <v>34</v>
      </c>
      <c r="B394" s="79"/>
      <c r="C394" s="79"/>
      <c r="D394" s="82"/>
      <c r="E394" s="83"/>
    </row>
    <row r="395" spans="1:7" x14ac:dyDescent="0.2">
      <c r="A395" s="79"/>
      <c r="B395" s="79"/>
      <c r="C395" s="79"/>
      <c r="D395" s="82"/>
      <c r="E395" s="83"/>
    </row>
    <row r="396" spans="1:7" x14ac:dyDescent="0.2">
      <c r="A396" s="166">
        <v>38000</v>
      </c>
      <c r="B396" s="155" t="s">
        <v>526</v>
      </c>
      <c r="C396" s="6" t="s">
        <v>394</v>
      </c>
      <c r="D396" s="56">
        <v>41297</v>
      </c>
      <c r="E396" s="268">
        <v>2829.079999999999</v>
      </c>
      <c r="F396" s="86">
        <f>$B$8</f>
        <v>5.8577645403926841E-2</v>
      </c>
      <c r="G396" s="87">
        <f>E396*F396</f>
        <v>165.72084505934129</v>
      </c>
    </row>
    <row r="397" spans="1:7" x14ac:dyDescent="0.2">
      <c r="A397" s="166">
        <v>38000</v>
      </c>
      <c r="B397" s="155" t="s">
        <v>527</v>
      </c>
      <c r="C397" s="6" t="s">
        <v>394</v>
      </c>
      <c r="D397" s="56">
        <v>41379</v>
      </c>
      <c r="E397" s="268">
        <v>7024.91</v>
      </c>
      <c r="F397" s="86">
        <f t="shared" ref="F397:F432" si="24">$B$8</f>
        <v>5.8577645403926841E-2</v>
      </c>
      <c r="G397" s="87">
        <f t="shared" ref="G397:G432" si="25">E397*F397</f>
        <v>411.50268697449968</v>
      </c>
    </row>
    <row r="398" spans="1:7" x14ac:dyDescent="0.2">
      <c r="A398" s="166">
        <v>38000</v>
      </c>
      <c r="B398" s="155" t="s">
        <v>528</v>
      </c>
      <c r="C398" s="6" t="s">
        <v>394</v>
      </c>
      <c r="D398" s="56">
        <v>41428</v>
      </c>
      <c r="E398" s="268">
        <v>6807.0099999999993</v>
      </c>
      <c r="F398" s="86">
        <f t="shared" si="24"/>
        <v>5.8577645403926841E-2</v>
      </c>
      <c r="G398" s="87">
        <f t="shared" si="25"/>
        <v>398.73861804098402</v>
      </c>
    </row>
    <row r="399" spans="1:7" x14ac:dyDescent="0.2">
      <c r="A399" s="166">
        <v>38000</v>
      </c>
      <c r="B399" s="155" t="s">
        <v>529</v>
      </c>
      <c r="C399" s="6" t="s">
        <v>394</v>
      </c>
      <c r="D399" s="56">
        <v>41297</v>
      </c>
      <c r="E399" s="268">
        <v>39399.820000000007</v>
      </c>
      <c r="F399" s="86">
        <f t="shared" si="24"/>
        <v>5.8577645403926841E-2</v>
      </c>
      <c r="G399" s="87">
        <f t="shared" si="25"/>
        <v>2307.9486849385453</v>
      </c>
    </row>
    <row r="400" spans="1:7" x14ac:dyDescent="0.2">
      <c r="A400" s="166">
        <v>38000</v>
      </c>
      <c r="B400" s="155" t="s">
        <v>530</v>
      </c>
      <c r="C400" s="6" t="s">
        <v>394</v>
      </c>
      <c r="D400" s="56">
        <v>41379</v>
      </c>
      <c r="E400" s="268">
        <v>54148.060000000049</v>
      </c>
      <c r="F400" s="86">
        <f t="shared" si="24"/>
        <v>5.8577645403926841E-2</v>
      </c>
      <c r="G400" s="87">
        <f t="shared" si="25"/>
        <v>3171.8658579905577</v>
      </c>
    </row>
    <row r="401" spans="1:7" x14ac:dyDescent="0.2">
      <c r="A401" s="166">
        <v>38000</v>
      </c>
      <c r="B401" s="155" t="s">
        <v>531</v>
      </c>
      <c r="C401" s="6" t="s">
        <v>394</v>
      </c>
      <c r="D401" s="56">
        <v>41428</v>
      </c>
      <c r="E401" s="268">
        <v>35304.32</v>
      </c>
      <c r="F401" s="86">
        <f t="shared" si="24"/>
        <v>5.8577645403926841E-2</v>
      </c>
      <c r="G401" s="87">
        <f t="shared" si="25"/>
        <v>2068.0439381867623</v>
      </c>
    </row>
    <row r="402" spans="1:7" x14ac:dyDescent="0.2">
      <c r="A402" s="166">
        <v>38000</v>
      </c>
      <c r="B402" s="155" t="s">
        <v>532</v>
      </c>
      <c r="C402" s="6" t="s">
        <v>394</v>
      </c>
      <c r="D402" s="56">
        <v>41297</v>
      </c>
      <c r="E402" s="268">
        <v>1505.18</v>
      </c>
      <c r="F402" s="86">
        <f t="shared" si="24"/>
        <v>5.8577645403926841E-2</v>
      </c>
      <c r="G402" s="87">
        <f t="shared" si="25"/>
        <v>88.169900309082607</v>
      </c>
    </row>
    <row r="403" spans="1:7" x14ac:dyDescent="0.2">
      <c r="A403" s="166">
        <v>38000</v>
      </c>
      <c r="B403" s="155" t="s">
        <v>533</v>
      </c>
      <c r="C403" s="6" t="s">
        <v>394</v>
      </c>
      <c r="D403" s="56">
        <v>41379</v>
      </c>
      <c r="E403" s="268">
        <v>4422.7300000000014</v>
      </c>
      <c r="F403" s="86">
        <f t="shared" si="24"/>
        <v>5.8577645403926841E-2</v>
      </c>
      <c r="G403" s="87">
        <f t="shared" si="25"/>
        <v>259.07310965730943</v>
      </c>
    </row>
    <row r="404" spans="1:7" x14ac:dyDescent="0.2">
      <c r="A404" s="166">
        <v>38000</v>
      </c>
      <c r="B404" s="155" t="s">
        <v>534</v>
      </c>
      <c r="C404" s="6" t="s">
        <v>394</v>
      </c>
      <c r="D404" s="56">
        <v>41450</v>
      </c>
      <c r="E404" s="268">
        <v>3442.7</v>
      </c>
      <c r="F404" s="86">
        <f t="shared" si="24"/>
        <v>5.8577645403926841E-2</v>
      </c>
      <c r="G404" s="87">
        <f t="shared" si="25"/>
        <v>201.66525983209891</v>
      </c>
    </row>
    <row r="405" spans="1:7" x14ac:dyDescent="0.2">
      <c r="A405" s="166" t="s">
        <v>32</v>
      </c>
      <c r="B405" s="155" t="s">
        <v>220</v>
      </c>
      <c r="C405" s="6" t="s">
        <v>288</v>
      </c>
      <c r="D405" s="56">
        <v>41061</v>
      </c>
      <c r="E405" s="268">
        <v>9537.619999999999</v>
      </c>
      <c r="F405" s="86">
        <f t="shared" si="24"/>
        <v>5.8577645403926841E-2</v>
      </c>
      <c r="G405" s="87">
        <f t="shared" si="25"/>
        <v>558.69132235740062</v>
      </c>
    </row>
    <row r="406" spans="1:7" x14ac:dyDescent="0.2">
      <c r="A406" s="166" t="s">
        <v>32</v>
      </c>
      <c r="B406" s="155" t="s">
        <v>220</v>
      </c>
      <c r="C406" s="6" t="s">
        <v>288</v>
      </c>
      <c r="D406" s="56">
        <v>41091</v>
      </c>
      <c r="E406" s="268">
        <v>11237.740000000002</v>
      </c>
      <c r="F406" s="86">
        <f t="shared" si="24"/>
        <v>5.8577645403926841E-2</v>
      </c>
      <c r="G406" s="87">
        <f t="shared" si="25"/>
        <v>658.28034886152489</v>
      </c>
    </row>
    <row r="407" spans="1:7" x14ac:dyDescent="0.2">
      <c r="A407" s="166" t="s">
        <v>32</v>
      </c>
      <c r="B407" s="155" t="s">
        <v>221</v>
      </c>
      <c r="C407" s="6" t="s">
        <v>290</v>
      </c>
      <c r="D407" s="56">
        <v>41061</v>
      </c>
      <c r="E407" s="268">
        <v>17821.039999999997</v>
      </c>
      <c r="F407" s="86">
        <f t="shared" si="24"/>
        <v>5.8577645403926841E-2</v>
      </c>
      <c r="G407" s="87">
        <f t="shared" si="25"/>
        <v>1043.9145618491962</v>
      </c>
    </row>
    <row r="408" spans="1:7" x14ac:dyDescent="0.2">
      <c r="A408" s="166" t="s">
        <v>32</v>
      </c>
      <c r="B408" s="155" t="s">
        <v>221</v>
      </c>
      <c r="C408" s="6" t="s">
        <v>290</v>
      </c>
      <c r="D408" s="56">
        <v>41091</v>
      </c>
      <c r="E408" s="268">
        <v>14089.949999999997</v>
      </c>
      <c r="F408" s="86">
        <f t="shared" si="24"/>
        <v>5.8577645403926841E-2</v>
      </c>
      <c r="G408" s="87">
        <f t="shared" si="25"/>
        <v>825.35609485905877</v>
      </c>
    </row>
    <row r="409" spans="1:7" x14ac:dyDescent="0.2">
      <c r="A409" s="166" t="s">
        <v>32</v>
      </c>
      <c r="B409" s="155" t="s">
        <v>222</v>
      </c>
      <c r="C409" s="6" t="s">
        <v>292</v>
      </c>
      <c r="D409" s="56">
        <v>41061</v>
      </c>
      <c r="E409" s="268">
        <v>5276.18</v>
      </c>
      <c r="F409" s="86">
        <f t="shared" si="24"/>
        <v>5.8577645403926841E-2</v>
      </c>
      <c r="G409" s="87">
        <f t="shared" si="25"/>
        <v>309.06620112729075</v>
      </c>
    </row>
    <row r="410" spans="1:7" x14ac:dyDescent="0.2">
      <c r="A410" s="166" t="s">
        <v>32</v>
      </c>
      <c r="B410" s="155" t="s">
        <v>222</v>
      </c>
      <c r="C410" s="6" t="s">
        <v>292</v>
      </c>
      <c r="D410" s="56">
        <v>41091</v>
      </c>
      <c r="E410" s="268">
        <v>8076.39</v>
      </c>
      <c r="F410" s="86">
        <f t="shared" si="24"/>
        <v>5.8577645403926841E-2</v>
      </c>
      <c r="G410" s="87">
        <f t="shared" si="25"/>
        <v>473.09590956382073</v>
      </c>
    </row>
    <row r="411" spans="1:7" x14ac:dyDescent="0.2">
      <c r="A411" s="166" t="s">
        <v>32</v>
      </c>
      <c r="B411" s="155" t="s">
        <v>223</v>
      </c>
      <c r="C411" s="6" t="s">
        <v>321</v>
      </c>
      <c r="D411" s="56">
        <v>41061</v>
      </c>
      <c r="E411" s="268">
        <v>57.06</v>
      </c>
      <c r="F411" s="86">
        <f t="shared" si="24"/>
        <v>5.8577645403926841E-2</v>
      </c>
      <c r="G411" s="87">
        <f t="shared" si="25"/>
        <v>3.3424404467480655</v>
      </c>
    </row>
    <row r="412" spans="1:7" x14ac:dyDescent="0.2">
      <c r="A412" s="166" t="s">
        <v>32</v>
      </c>
      <c r="B412" s="155" t="s">
        <v>224</v>
      </c>
      <c r="C412" s="6" t="s">
        <v>323</v>
      </c>
      <c r="D412" s="56">
        <v>41061</v>
      </c>
      <c r="E412" s="268">
        <v>-175.58999999999997</v>
      </c>
      <c r="F412" s="86">
        <f t="shared" si="24"/>
        <v>5.8577645403926841E-2</v>
      </c>
      <c r="G412" s="87">
        <f t="shared" si="25"/>
        <v>-10.285648756475512</v>
      </c>
    </row>
    <row r="413" spans="1:7" x14ac:dyDescent="0.2">
      <c r="A413" s="166" t="s">
        <v>32</v>
      </c>
      <c r="B413" s="155" t="s">
        <v>224</v>
      </c>
      <c r="C413" s="6" t="s">
        <v>323</v>
      </c>
      <c r="D413" s="56">
        <v>41091</v>
      </c>
      <c r="E413" s="268">
        <v>122.42</v>
      </c>
      <c r="F413" s="86">
        <f t="shared" si="24"/>
        <v>5.8577645403926841E-2</v>
      </c>
      <c r="G413" s="87">
        <f t="shared" si="25"/>
        <v>7.1710753503487243</v>
      </c>
    </row>
    <row r="414" spans="1:7" x14ac:dyDescent="0.2">
      <c r="A414" s="166" t="s">
        <v>32</v>
      </c>
      <c r="B414" s="155" t="s">
        <v>225</v>
      </c>
      <c r="C414" s="6" t="s">
        <v>325</v>
      </c>
      <c r="D414" s="56">
        <v>41061</v>
      </c>
      <c r="E414" s="268">
        <v>-425.89</v>
      </c>
      <c r="F414" s="86">
        <f t="shared" si="24"/>
        <v>5.8577645403926841E-2</v>
      </c>
      <c r="G414" s="87">
        <f t="shared" si="25"/>
        <v>-24.947633401078402</v>
      </c>
    </row>
    <row r="415" spans="1:7" x14ac:dyDescent="0.2">
      <c r="A415" s="166" t="s">
        <v>32</v>
      </c>
      <c r="B415" s="155" t="s">
        <v>225</v>
      </c>
      <c r="C415" s="6" t="s">
        <v>325</v>
      </c>
      <c r="D415" s="56">
        <v>41091</v>
      </c>
      <c r="E415" s="268">
        <v>1930.5100000000002</v>
      </c>
      <c r="F415" s="86">
        <f t="shared" si="24"/>
        <v>5.8577645403926841E-2</v>
      </c>
      <c r="G415" s="87">
        <f t="shared" si="25"/>
        <v>113.08473022873481</v>
      </c>
    </row>
    <row r="416" spans="1:7" x14ac:dyDescent="0.2">
      <c r="A416" s="166" t="s">
        <v>32</v>
      </c>
      <c r="B416" s="155" t="s">
        <v>598</v>
      </c>
      <c r="C416" s="6" t="s">
        <v>562</v>
      </c>
      <c r="D416" s="56">
        <v>41153</v>
      </c>
      <c r="E416" s="268">
        <v>815.41</v>
      </c>
      <c r="F416" s="86">
        <f t="shared" si="24"/>
        <v>5.8577645403926841E-2</v>
      </c>
      <c r="G416" s="87">
        <f t="shared" si="25"/>
        <v>47.764797838815987</v>
      </c>
    </row>
    <row r="417" spans="1:7" x14ac:dyDescent="0.2">
      <c r="A417" s="166" t="s">
        <v>32</v>
      </c>
      <c r="B417" s="155" t="s">
        <v>599</v>
      </c>
      <c r="C417" s="6" t="s">
        <v>268</v>
      </c>
      <c r="D417" s="56">
        <v>41153</v>
      </c>
      <c r="E417" s="268">
        <v>225</v>
      </c>
      <c r="F417" s="86">
        <f t="shared" si="24"/>
        <v>5.8577645403926841E-2</v>
      </c>
      <c r="G417" s="87">
        <f t="shared" si="25"/>
        <v>13.179970215883539</v>
      </c>
    </row>
    <row r="418" spans="1:7" x14ac:dyDescent="0.2">
      <c r="A418" s="166" t="s">
        <v>32</v>
      </c>
      <c r="B418" s="155" t="s">
        <v>600</v>
      </c>
      <c r="C418" s="6" t="s">
        <v>271</v>
      </c>
      <c r="D418" s="56">
        <v>41153</v>
      </c>
      <c r="E418" s="268">
        <v>548.88</v>
      </c>
      <c r="F418" s="86">
        <f t="shared" si="24"/>
        <v>5.8577645403926841E-2</v>
      </c>
      <c r="G418" s="87">
        <f t="shared" si="25"/>
        <v>32.152098009307366</v>
      </c>
    </row>
    <row r="419" spans="1:7" x14ac:dyDescent="0.2">
      <c r="A419" s="166" t="s">
        <v>32</v>
      </c>
      <c r="B419" s="155" t="s">
        <v>203</v>
      </c>
      <c r="C419" s="6" t="s">
        <v>274</v>
      </c>
      <c r="D419" s="56">
        <v>41153</v>
      </c>
      <c r="E419" s="268">
        <v>412.74</v>
      </c>
      <c r="F419" s="86">
        <f t="shared" si="24"/>
        <v>5.8577645403926841E-2</v>
      </c>
      <c r="G419" s="87">
        <f t="shared" si="25"/>
        <v>24.177337364016765</v>
      </c>
    </row>
    <row r="420" spans="1:7" x14ac:dyDescent="0.2">
      <c r="A420" s="166" t="s">
        <v>32</v>
      </c>
      <c r="B420" s="155" t="s">
        <v>205</v>
      </c>
      <c r="C420" s="6" t="s">
        <v>279</v>
      </c>
      <c r="D420" s="56">
        <v>41153</v>
      </c>
      <c r="E420" s="268">
        <v>1864.23</v>
      </c>
      <c r="F420" s="86">
        <f t="shared" si="24"/>
        <v>5.8577645403926841E-2</v>
      </c>
      <c r="G420" s="87">
        <f t="shared" si="25"/>
        <v>109.20220389136253</v>
      </c>
    </row>
    <row r="421" spans="1:7" x14ac:dyDescent="0.2">
      <c r="A421" s="166" t="s">
        <v>32</v>
      </c>
      <c r="B421" s="155" t="s">
        <v>220</v>
      </c>
      <c r="C421" s="6" t="s">
        <v>288</v>
      </c>
      <c r="D421" s="56">
        <v>41122</v>
      </c>
      <c r="E421" s="268">
        <v>-5047.1500000000005</v>
      </c>
      <c r="F421" s="86">
        <f t="shared" si="24"/>
        <v>5.8577645403926841E-2</v>
      </c>
      <c r="G421" s="87">
        <f t="shared" si="25"/>
        <v>-295.65016300042942</v>
      </c>
    </row>
    <row r="422" spans="1:7" x14ac:dyDescent="0.2">
      <c r="A422" s="166" t="s">
        <v>32</v>
      </c>
      <c r="B422" s="155" t="s">
        <v>220</v>
      </c>
      <c r="C422" s="6" t="s">
        <v>288</v>
      </c>
      <c r="D422" s="56">
        <v>41153</v>
      </c>
      <c r="E422" s="268">
        <v>11700.9</v>
      </c>
      <c r="F422" s="86">
        <f t="shared" si="24"/>
        <v>5.8577645403926841E-2</v>
      </c>
      <c r="G422" s="87">
        <f t="shared" si="25"/>
        <v>685.4111711068075</v>
      </c>
    </row>
    <row r="423" spans="1:7" x14ac:dyDescent="0.2">
      <c r="A423" s="166" t="s">
        <v>32</v>
      </c>
      <c r="B423" s="155" t="s">
        <v>220</v>
      </c>
      <c r="C423" s="6" t="s">
        <v>288</v>
      </c>
      <c r="D423" s="56">
        <v>41183</v>
      </c>
      <c r="E423" s="268">
        <v>18132.91</v>
      </c>
      <c r="F423" s="86">
        <f t="shared" si="24"/>
        <v>5.8577645403926841E-2</v>
      </c>
      <c r="G423" s="87">
        <f t="shared" si="25"/>
        <v>1062.1831721213191</v>
      </c>
    </row>
    <row r="424" spans="1:7" x14ac:dyDescent="0.2">
      <c r="A424" s="166" t="s">
        <v>32</v>
      </c>
      <c r="B424" s="155" t="s">
        <v>221</v>
      </c>
      <c r="C424" s="6" t="s">
        <v>290</v>
      </c>
      <c r="D424" s="56">
        <v>41122</v>
      </c>
      <c r="E424" s="268">
        <v>65611.240000000005</v>
      </c>
      <c r="F424" s="86">
        <f t="shared" si="24"/>
        <v>5.8577645403926841E-2</v>
      </c>
      <c r="G424" s="87">
        <f t="shared" si="25"/>
        <v>3843.3519512319413</v>
      </c>
    </row>
    <row r="425" spans="1:7" x14ac:dyDescent="0.2">
      <c r="A425" s="166" t="s">
        <v>32</v>
      </c>
      <c r="B425" s="155" t="s">
        <v>221</v>
      </c>
      <c r="C425" s="6" t="s">
        <v>290</v>
      </c>
      <c r="D425" s="56">
        <v>41153</v>
      </c>
      <c r="E425" s="268">
        <v>51309.770000000004</v>
      </c>
      <c r="F425" s="86">
        <f t="shared" si="24"/>
        <v>5.8577645403926841E-2</v>
      </c>
      <c r="G425" s="87">
        <f t="shared" si="25"/>
        <v>3005.6055128170437</v>
      </c>
    </row>
    <row r="426" spans="1:7" x14ac:dyDescent="0.2">
      <c r="A426" s="166" t="s">
        <v>32</v>
      </c>
      <c r="B426" s="155" t="s">
        <v>221</v>
      </c>
      <c r="C426" s="6" t="s">
        <v>290</v>
      </c>
      <c r="D426" s="56">
        <v>41183</v>
      </c>
      <c r="E426" s="268">
        <v>21822.16</v>
      </c>
      <c r="F426" s="86">
        <f t="shared" si="24"/>
        <v>5.8577645403926841E-2</v>
      </c>
      <c r="G426" s="87">
        <f t="shared" si="25"/>
        <v>1278.2907504277562</v>
      </c>
    </row>
    <row r="427" spans="1:7" x14ac:dyDescent="0.2">
      <c r="A427" s="166" t="s">
        <v>32</v>
      </c>
      <c r="B427" s="155" t="s">
        <v>222</v>
      </c>
      <c r="C427" s="6" t="s">
        <v>292</v>
      </c>
      <c r="D427" s="56">
        <v>41122</v>
      </c>
      <c r="E427" s="268">
        <v>9970.86</v>
      </c>
      <c r="F427" s="86">
        <f t="shared" si="24"/>
        <v>5.8577645403926841E-2</v>
      </c>
      <c r="G427" s="87">
        <f t="shared" si="25"/>
        <v>584.06950145219798</v>
      </c>
    </row>
    <row r="428" spans="1:7" x14ac:dyDescent="0.2">
      <c r="A428" s="166" t="s">
        <v>32</v>
      </c>
      <c r="B428" s="155" t="s">
        <v>222</v>
      </c>
      <c r="C428" s="6" t="s">
        <v>292</v>
      </c>
      <c r="D428" s="56">
        <v>41153</v>
      </c>
      <c r="E428" s="268">
        <v>2929.01</v>
      </c>
      <c r="F428" s="86">
        <f t="shared" si="24"/>
        <v>5.8577645403926841E-2</v>
      </c>
      <c r="G428" s="87">
        <f t="shared" si="25"/>
        <v>171.57450916455576</v>
      </c>
    </row>
    <row r="429" spans="1:7" x14ac:dyDescent="0.2">
      <c r="A429" s="166" t="s">
        <v>32</v>
      </c>
      <c r="B429" s="155" t="s">
        <v>222</v>
      </c>
      <c r="C429" s="6" t="s">
        <v>292</v>
      </c>
      <c r="D429" s="56">
        <v>41183</v>
      </c>
      <c r="E429" s="268">
        <v>2005.5800000000002</v>
      </c>
      <c r="F429" s="86">
        <f t="shared" si="24"/>
        <v>5.8577645403926841E-2</v>
      </c>
      <c r="G429" s="87">
        <f t="shared" si="25"/>
        <v>117.48215406920761</v>
      </c>
    </row>
    <row r="430" spans="1:7" x14ac:dyDescent="0.2">
      <c r="A430" s="166" t="s">
        <v>32</v>
      </c>
      <c r="B430" s="155" t="s">
        <v>223</v>
      </c>
      <c r="C430" s="6" t="s">
        <v>321</v>
      </c>
      <c r="D430" s="56">
        <v>41153</v>
      </c>
      <c r="E430" s="268">
        <v>-454.35</v>
      </c>
      <c r="F430" s="86">
        <f t="shared" si="24"/>
        <v>5.8577645403926841E-2</v>
      </c>
      <c r="G430" s="87">
        <f t="shared" si="25"/>
        <v>-26.614753189274161</v>
      </c>
    </row>
    <row r="431" spans="1:7" x14ac:dyDescent="0.2">
      <c r="A431" s="166" t="s">
        <v>32</v>
      </c>
      <c r="B431" s="155" t="s">
        <v>223</v>
      </c>
      <c r="C431" s="6" t="s">
        <v>321</v>
      </c>
      <c r="D431" s="56">
        <v>41153</v>
      </c>
      <c r="E431" s="268">
        <v>454.35</v>
      </c>
      <c r="F431" s="86">
        <f t="shared" si="24"/>
        <v>5.8577645403926841E-2</v>
      </c>
      <c r="G431" s="87">
        <f t="shared" si="25"/>
        <v>26.614753189274161</v>
      </c>
    </row>
    <row r="432" spans="1:7" x14ac:dyDescent="0.2">
      <c r="A432" s="166" t="s">
        <v>32</v>
      </c>
      <c r="B432" s="155" t="s">
        <v>223</v>
      </c>
      <c r="C432" s="6" t="s">
        <v>321</v>
      </c>
      <c r="D432" s="56">
        <v>41183</v>
      </c>
      <c r="E432" s="268">
        <v>297.40000000000003</v>
      </c>
      <c r="F432" s="86">
        <f t="shared" si="24"/>
        <v>5.8577645403926841E-2</v>
      </c>
      <c r="G432" s="87">
        <f t="shared" si="25"/>
        <v>17.420991743127846</v>
      </c>
    </row>
    <row r="433" spans="1:7" x14ac:dyDescent="0.2">
      <c r="A433" s="154" t="s">
        <v>32</v>
      </c>
      <c r="B433" s="155" t="s">
        <v>224</v>
      </c>
      <c r="C433" s="6" t="s">
        <v>323</v>
      </c>
      <c r="D433" s="56">
        <v>41122</v>
      </c>
      <c r="E433" s="268">
        <v>306.88</v>
      </c>
      <c r="F433" s="86">
        <f t="shared" ref="F433:F438" si="26">$B$8</f>
        <v>5.8577645403926841E-2</v>
      </c>
      <c r="G433" s="87">
        <f>E433*F433</f>
        <v>17.976307821557068</v>
      </c>
    </row>
    <row r="434" spans="1:7" x14ac:dyDescent="0.2">
      <c r="A434" s="154" t="s">
        <v>32</v>
      </c>
      <c r="B434" s="153" t="s">
        <v>224</v>
      </c>
      <c r="C434" s="6" t="s">
        <v>323</v>
      </c>
      <c r="D434" s="56">
        <v>41153</v>
      </c>
      <c r="E434" s="268">
        <v>-402.71000000000004</v>
      </c>
      <c r="F434" s="86">
        <f t="shared" si="26"/>
        <v>5.8577645403926841E-2</v>
      </c>
      <c r="G434" s="87">
        <f>E434*F434</f>
        <v>-23.589803580615381</v>
      </c>
    </row>
    <row r="435" spans="1:7" x14ac:dyDescent="0.2">
      <c r="A435" s="154" t="s">
        <v>32</v>
      </c>
      <c r="B435" s="155" t="s">
        <v>224</v>
      </c>
      <c r="C435" s="6" t="s">
        <v>323</v>
      </c>
      <c r="D435" s="56">
        <v>41183</v>
      </c>
      <c r="E435" s="167">
        <v>774.18000000000006</v>
      </c>
      <c r="F435" s="86">
        <f t="shared" si="26"/>
        <v>5.8577645403926841E-2</v>
      </c>
      <c r="G435" s="87">
        <f>E435*F435</f>
        <v>45.349641518812085</v>
      </c>
    </row>
    <row r="436" spans="1:7" x14ac:dyDescent="0.2">
      <c r="A436" s="154" t="s">
        <v>32</v>
      </c>
      <c r="B436" s="66" t="s">
        <v>225</v>
      </c>
      <c r="C436" s="6" t="s">
        <v>325</v>
      </c>
      <c r="D436" s="56">
        <v>41122</v>
      </c>
      <c r="E436" s="268">
        <v>452.89</v>
      </c>
      <c r="F436" s="86">
        <f t="shared" si="26"/>
        <v>5.8577645403926841E-2</v>
      </c>
      <c r="G436" s="87">
        <f t="shared" ref="G436:G438" si="27">E436*F436</f>
        <v>26.529229826984427</v>
      </c>
    </row>
    <row r="437" spans="1:7" x14ac:dyDescent="0.2">
      <c r="A437" s="154" t="s">
        <v>32</v>
      </c>
      <c r="B437" s="155" t="s">
        <v>225</v>
      </c>
      <c r="C437" s="6" t="s">
        <v>325</v>
      </c>
      <c r="D437" s="56">
        <v>41153</v>
      </c>
      <c r="E437" s="268">
        <v>-1405.92</v>
      </c>
      <c r="F437" s="86">
        <f t="shared" si="26"/>
        <v>5.8577645403926841E-2</v>
      </c>
      <c r="G437" s="87">
        <f t="shared" si="27"/>
        <v>-82.355483226288825</v>
      </c>
    </row>
    <row r="438" spans="1:7" x14ac:dyDescent="0.2">
      <c r="A438" s="154" t="s">
        <v>32</v>
      </c>
      <c r="B438" s="158" t="s">
        <v>225</v>
      </c>
      <c r="C438" s="6" t="s">
        <v>325</v>
      </c>
      <c r="D438" s="56">
        <v>41183</v>
      </c>
      <c r="E438" s="167">
        <v>221.3</v>
      </c>
      <c r="F438" s="86">
        <f t="shared" si="26"/>
        <v>5.8577645403926841E-2</v>
      </c>
      <c r="G438" s="87">
        <f t="shared" si="27"/>
        <v>12.96323292788901</v>
      </c>
    </row>
    <row r="439" spans="1:7" x14ac:dyDescent="0.2">
      <c r="E439" s="267"/>
    </row>
    <row r="440" spans="1:7" ht="13.5" thickBot="1" x14ac:dyDescent="0.25">
      <c r="C440" s="12" t="s">
        <v>29</v>
      </c>
      <c r="E440" s="265">
        <f>SUM(E396:E438)</f>
        <v>404976.80000000016</v>
      </c>
      <c r="G440" s="84">
        <f>SUM(G396:G438)</f>
        <v>23722.587387217009</v>
      </c>
    </row>
    <row r="441" spans="1:7" ht="13.5" thickTop="1" x14ac:dyDescent="0.2">
      <c r="C441" s="12"/>
      <c r="E441" s="83"/>
      <c r="G441" s="85"/>
    </row>
    <row r="442" spans="1:7" ht="13.5" thickBot="1" x14ac:dyDescent="0.25">
      <c r="C442" s="12" t="s">
        <v>35</v>
      </c>
      <c r="D442" s="16"/>
      <c r="E442" s="252">
        <f>E440+E391+E324</f>
        <v>855462.79000000039</v>
      </c>
      <c r="G442" s="15">
        <f>G440+G391+G324</f>
        <v>35693.255031417517</v>
      </c>
    </row>
    <row r="443" spans="1:7" ht="13.5" thickTop="1" x14ac:dyDescent="0.2">
      <c r="E443" s="267"/>
    </row>
    <row r="444" spans="1:7" x14ac:dyDescent="0.2">
      <c r="E444" s="267"/>
    </row>
    <row r="445" spans="1:7" x14ac:dyDescent="0.2">
      <c r="A445" s="2" t="s">
        <v>36</v>
      </c>
      <c r="E445" s="267"/>
    </row>
    <row r="446" spans="1:7" x14ac:dyDescent="0.2">
      <c r="E446" s="267"/>
    </row>
    <row r="447" spans="1:7" x14ac:dyDescent="0.2">
      <c r="A447" s="154">
        <v>38100</v>
      </c>
      <c r="B447" s="153" t="s">
        <v>384</v>
      </c>
      <c r="C447" s="6" t="s">
        <v>396</v>
      </c>
      <c r="D447" s="56">
        <v>41279</v>
      </c>
      <c r="E447" s="268">
        <v>15075.518741109416</v>
      </c>
      <c r="F447" s="54">
        <f>$B$9</f>
        <v>2.7055355331369324E-2</v>
      </c>
      <c r="G447" s="80">
        <f t="shared" ref="G447:G477" si="28">E447*F447</f>
        <v>407.87351634543279</v>
      </c>
    </row>
    <row r="448" spans="1:7" x14ac:dyDescent="0.2">
      <c r="A448" s="154">
        <v>38200</v>
      </c>
      <c r="B448" s="153" t="s">
        <v>390</v>
      </c>
      <c r="C448" s="6" t="s">
        <v>395</v>
      </c>
      <c r="D448" s="56">
        <v>41275</v>
      </c>
      <c r="E448" s="268">
        <v>6326.3300000000008</v>
      </c>
      <c r="F448" s="54">
        <f t="shared" ref="F448:F472" si="29">$B$9</f>
        <v>2.7055355331369324E-2</v>
      </c>
      <c r="G448" s="80">
        <f t="shared" ref="G448:G472" si="30">E448*F448</f>
        <v>171.16110609350173</v>
      </c>
    </row>
    <row r="449" spans="1:7" x14ac:dyDescent="0.2">
      <c r="A449" s="154">
        <v>38200</v>
      </c>
      <c r="B449" s="153" t="s">
        <v>389</v>
      </c>
      <c r="C449" s="6" t="s">
        <v>397</v>
      </c>
      <c r="D449" s="56">
        <v>41281</v>
      </c>
      <c r="E449" s="268">
        <v>1471.64</v>
      </c>
      <c r="F449" s="54">
        <f t="shared" si="29"/>
        <v>2.7055355331369324E-2</v>
      </c>
      <c r="G449" s="80">
        <f t="shared" si="30"/>
        <v>39.815743119856357</v>
      </c>
    </row>
    <row r="450" spans="1:7" x14ac:dyDescent="0.2">
      <c r="A450" s="154">
        <v>38200</v>
      </c>
      <c r="B450" s="153" t="s">
        <v>388</v>
      </c>
      <c r="C450" s="6" t="s">
        <v>396</v>
      </c>
      <c r="D450" s="56">
        <v>41367</v>
      </c>
      <c r="E450" s="268">
        <v>10255.110000000004</v>
      </c>
      <c r="F450" s="54">
        <f t="shared" si="29"/>
        <v>2.7055355331369324E-2</v>
      </c>
      <c r="G450" s="80">
        <f t="shared" si="30"/>
        <v>277.45564501227898</v>
      </c>
    </row>
    <row r="451" spans="1:7" x14ac:dyDescent="0.2">
      <c r="A451" s="154">
        <v>38200</v>
      </c>
      <c r="B451" s="153" t="s">
        <v>387</v>
      </c>
      <c r="C451" s="6" t="s">
        <v>397</v>
      </c>
      <c r="D451" s="56">
        <v>41371</v>
      </c>
      <c r="E451" s="268">
        <v>1433.6600000000003</v>
      </c>
      <c r="F451" s="54">
        <f t="shared" si="29"/>
        <v>2.7055355331369324E-2</v>
      </c>
      <c r="G451" s="80">
        <f t="shared" si="30"/>
        <v>38.788180724370953</v>
      </c>
    </row>
    <row r="452" spans="1:7" x14ac:dyDescent="0.2">
      <c r="A452" s="154">
        <v>38200</v>
      </c>
      <c r="B452" s="153" t="s">
        <v>386</v>
      </c>
      <c r="C452" s="6" t="s">
        <v>396</v>
      </c>
      <c r="D452" s="56">
        <v>41428</v>
      </c>
      <c r="E452" s="268">
        <v>24388.240000000002</v>
      </c>
      <c r="F452" s="54">
        <f t="shared" si="29"/>
        <v>2.7055355331369324E-2</v>
      </c>
      <c r="G452" s="80">
        <f t="shared" si="30"/>
        <v>659.83249910671464</v>
      </c>
    </row>
    <row r="453" spans="1:7" x14ac:dyDescent="0.2">
      <c r="A453" s="154">
        <v>38200</v>
      </c>
      <c r="B453" s="153" t="s">
        <v>385</v>
      </c>
      <c r="C453" s="6" t="s">
        <v>397</v>
      </c>
      <c r="D453" s="56">
        <v>41431</v>
      </c>
      <c r="E453" s="268">
        <v>1686.32</v>
      </c>
      <c r="F453" s="54">
        <f t="shared" si="29"/>
        <v>2.7055355331369324E-2</v>
      </c>
      <c r="G453" s="80">
        <f t="shared" si="30"/>
        <v>45.623986802394718</v>
      </c>
    </row>
    <row r="454" spans="1:7" x14ac:dyDescent="0.2">
      <c r="A454" s="154">
        <v>38200</v>
      </c>
      <c r="B454" s="153" t="s">
        <v>384</v>
      </c>
      <c r="C454" s="6" t="s">
        <v>396</v>
      </c>
      <c r="D454" s="56">
        <v>41278</v>
      </c>
      <c r="E454" s="268">
        <v>6155.4112588905928</v>
      </c>
      <c r="F454" s="54">
        <f t="shared" si="29"/>
        <v>2.7055355331369324E-2</v>
      </c>
      <c r="G454" s="80">
        <f t="shared" si="30"/>
        <v>166.53683881999635</v>
      </c>
    </row>
    <row r="455" spans="1:7" x14ac:dyDescent="0.2">
      <c r="A455" s="154" t="s">
        <v>601</v>
      </c>
      <c r="B455" s="153" t="s">
        <v>226</v>
      </c>
      <c r="C455" s="6" t="s">
        <v>351</v>
      </c>
      <c r="D455" s="56">
        <v>41061</v>
      </c>
      <c r="E455" s="268">
        <v>0.3</v>
      </c>
      <c r="F455" s="54">
        <f t="shared" si="29"/>
        <v>2.7055355331369324E-2</v>
      </c>
      <c r="G455" s="80">
        <f t="shared" si="30"/>
        <v>8.1166065994107972E-3</v>
      </c>
    </row>
    <row r="456" spans="1:7" x14ac:dyDescent="0.2">
      <c r="A456" s="154" t="s">
        <v>601</v>
      </c>
      <c r="B456" s="153" t="s">
        <v>564</v>
      </c>
      <c r="C456" s="6" t="s">
        <v>556</v>
      </c>
      <c r="D456" s="56">
        <v>41091</v>
      </c>
      <c r="E456" s="268">
        <v>320.95999999999998</v>
      </c>
      <c r="F456" s="54">
        <f t="shared" si="29"/>
        <v>2.7055355331369324E-2</v>
      </c>
      <c r="G456" s="80">
        <f t="shared" si="30"/>
        <v>8.6836868471562969</v>
      </c>
    </row>
    <row r="457" spans="1:7" x14ac:dyDescent="0.2">
      <c r="A457" s="154" t="s">
        <v>602</v>
      </c>
      <c r="B457" s="153" t="s">
        <v>182</v>
      </c>
      <c r="C457" s="6" t="s">
        <v>347</v>
      </c>
      <c r="D457" s="56">
        <v>41061</v>
      </c>
      <c r="E457" s="268">
        <v>149.39999999999998</v>
      </c>
      <c r="F457" s="54">
        <f t="shared" si="29"/>
        <v>2.7055355331369324E-2</v>
      </c>
      <c r="G457" s="80">
        <f t="shared" si="30"/>
        <v>4.042070086506576</v>
      </c>
    </row>
    <row r="458" spans="1:7" x14ac:dyDescent="0.2">
      <c r="A458" s="154" t="s">
        <v>602</v>
      </c>
      <c r="B458" s="153" t="s">
        <v>227</v>
      </c>
      <c r="C458" s="6" t="s">
        <v>352</v>
      </c>
      <c r="D458" s="56">
        <v>41061</v>
      </c>
      <c r="E458" s="268">
        <v>-83.9</v>
      </c>
      <c r="F458" s="54">
        <f t="shared" si="29"/>
        <v>2.7055355331369324E-2</v>
      </c>
      <c r="G458" s="80">
        <f t="shared" si="30"/>
        <v>-2.2699443123018863</v>
      </c>
    </row>
    <row r="459" spans="1:7" x14ac:dyDescent="0.2">
      <c r="A459" s="154" t="s">
        <v>602</v>
      </c>
      <c r="B459" s="153" t="s">
        <v>564</v>
      </c>
      <c r="C459" s="6" t="s">
        <v>556</v>
      </c>
      <c r="D459" s="56">
        <v>41091</v>
      </c>
      <c r="E459" s="268">
        <v>1510.44</v>
      </c>
      <c r="F459" s="54">
        <f t="shared" si="29"/>
        <v>2.7055355331369324E-2</v>
      </c>
      <c r="G459" s="80">
        <f t="shared" si="30"/>
        <v>40.865490906713482</v>
      </c>
    </row>
    <row r="460" spans="1:7" x14ac:dyDescent="0.2">
      <c r="A460" s="154" t="s">
        <v>602</v>
      </c>
      <c r="B460" s="153" t="s">
        <v>228</v>
      </c>
      <c r="C460" s="6" t="s">
        <v>358</v>
      </c>
      <c r="D460" s="56">
        <v>41061</v>
      </c>
      <c r="E460" s="268">
        <v>8676.14</v>
      </c>
      <c r="F460" s="54">
        <f t="shared" si="29"/>
        <v>2.7055355331369324E-2</v>
      </c>
      <c r="G460" s="80">
        <f t="shared" si="30"/>
        <v>234.73605060470663</v>
      </c>
    </row>
    <row r="461" spans="1:7" x14ac:dyDescent="0.2">
      <c r="A461" s="154" t="s">
        <v>602</v>
      </c>
      <c r="B461" s="153" t="s">
        <v>228</v>
      </c>
      <c r="C461" s="6" t="s">
        <v>358</v>
      </c>
      <c r="D461" s="56">
        <v>41091</v>
      </c>
      <c r="E461" s="268">
        <v>4570.2299999999996</v>
      </c>
      <c r="F461" s="54">
        <f t="shared" si="29"/>
        <v>2.7055355331369324E-2</v>
      </c>
      <c r="G461" s="80">
        <f t="shared" si="30"/>
        <v>123.64919659608401</v>
      </c>
    </row>
    <row r="462" spans="1:7" x14ac:dyDescent="0.2">
      <c r="A462" s="154" t="s">
        <v>603</v>
      </c>
      <c r="B462" s="153" t="s">
        <v>182</v>
      </c>
      <c r="C462" s="6" t="s">
        <v>347</v>
      </c>
      <c r="D462" s="56">
        <v>41061</v>
      </c>
      <c r="E462" s="268">
        <v>-149.4</v>
      </c>
      <c r="F462" s="54">
        <f t="shared" si="29"/>
        <v>2.7055355331369324E-2</v>
      </c>
      <c r="G462" s="80">
        <f t="shared" si="30"/>
        <v>-4.0420700865065768</v>
      </c>
    </row>
    <row r="463" spans="1:7" x14ac:dyDescent="0.2">
      <c r="A463" s="154" t="s">
        <v>603</v>
      </c>
      <c r="B463" s="153" t="s">
        <v>229</v>
      </c>
      <c r="C463" s="6" t="s">
        <v>356</v>
      </c>
      <c r="D463" s="56">
        <v>41061</v>
      </c>
      <c r="E463" s="268">
        <v>0.12000000000000001</v>
      </c>
      <c r="F463" s="54">
        <f t="shared" si="29"/>
        <v>2.7055355331369324E-2</v>
      </c>
      <c r="G463" s="80">
        <f t="shared" si="30"/>
        <v>3.2466426397643193E-3</v>
      </c>
    </row>
    <row r="464" spans="1:7" x14ac:dyDescent="0.2">
      <c r="A464" s="154" t="s">
        <v>603</v>
      </c>
      <c r="B464" s="153" t="s">
        <v>564</v>
      </c>
      <c r="C464" s="6" t="s">
        <v>556</v>
      </c>
      <c r="D464" s="56">
        <v>41091</v>
      </c>
      <c r="E464" s="268">
        <v>56.64</v>
      </c>
      <c r="F464" s="54">
        <f t="shared" si="29"/>
        <v>2.7055355331369324E-2</v>
      </c>
      <c r="G464" s="80">
        <f t="shared" si="30"/>
        <v>1.5324153259687585</v>
      </c>
    </row>
    <row r="465" spans="1:7" x14ac:dyDescent="0.2">
      <c r="A465" s="154" t="s">
        <v>601</v>
      </c>
      <c r="B465" s="153" t="s">
        <v>564</v>
      </c>
      <c r="C465" s="6" t="s">
        <v>556</v>
      </c>
      <c r="D465" s="56">
        <v>41122</v>
      </c>
      <c r="E465" s="268">
        <v>-7.09</v>
      </c>
      <c r="F465" s="54">
        <f t="shared" si="29"/>
        <v>2.7055355331369324E-2</v>
      </c>
      <c r="G465" s="80">
        <f t="shared" si="30"/>
        <v>-0.19182246929940849</v>
      </c>
    </row>
    <row r="466" spans="1:7" x14ac:dyDescent="0.2">
      <c r="A466" s="154" t="s">
        <v>601</v>
      </c>
      <c r="B466" s="153" t="s">
        <v>564</v>
      </c>
      <c r="C466" s="6" t="s">
        <v>556</v>
      </c>
      <c r="D466" s="56">
        <v>41153</v>
      </c>
      <c r="E466" s="268">
        <v>9.0400000000000009</v>
      </c>
      <c r="F466" s="54">
        <f t="shared" si="29"/>
        <v>2.7055355331369324E-2</v>
      </c>
      <c r="G466" s="80">
        <f t="shared" si="30"/>
        <v>0.24458041219557872</v>
      </c>
    </row>
    <row r="467" spans="1:7" x14ac:dyDescent="0.2">
      <c r="A467" s="154" t="s">
        <v>601</v>
      </c>
      <c r="B467" s="153" t="s">
        <v>564</v>
      </c>
      <c r="C467" s="6" t="s">
        <v>556</v>
      </c>
      <c r="D467" s="56">
        <v>41183</v>
      </c>
      <c r="E467" s="268">
        <v>58.74</v>
      </c>
      <c r="F467" s="54">
        <f t="shared" si="29"/>
        <v>2.7055355331369324E-2</v>
      </c>
      <c r="G467" s="80">
        <f t="shared" si="30"/>
        <v>1.5892315721646342</v>
      </c>
    </row>
    <row r="468" spans="1:7" x14ac:dyDescent="0.2">
      <c r="A468" s="154" t="s">
        <v>602</v>
      </c>
      <c r="B468" s="153" t="s">
        <v>595</v>
      </c>
      <c r="C468" s="6" t="s">
        <v>555</v>
      </c>
      <c r="D468" s="56">
        <v>41153</v>
      </c>
      <c r="E468" s="268">
        <v>89.77</v>
      </c>
      <c r="F468" s="54">
        <f t="shared" si="29"/>
        <v>2.7055355331369324E-2</v>
      </c>
      <c r="G468" s="80">
        <f t="shared" si="30"/>
        <v>2.4287592480970241</v>
      </c>
    </row>
    <row r="469" spans="1:7" x14ac:dyDescent="0.2">
      <c r="A469" s="154" t="s">
        <v>602</v>
      </c>
      <c r="B469" s="153" t="s">
        <v>564</v>
      </c>
      <c r="C469" s="6" t="s">
        <v>556</v>
      </c>
      <c r="D469" s="56">
        <v>41122</v>
      </c>
      <c r="E469" s="268">
        <v>-33.35</v>
      </c>
      <c r="F469" s="54">
        <f t="shared" si="29"/>
        <v>2.7055355331369324E-2</v>
      </c>
      <c r="G469" s="80">
        <f t="shared" si="30"/>
        <v>-0.90229610030116703</v>
      </c>
    </row>
    <row r="470" spans="1:7" x14ac:dyDescent="0.2">
      <c r="A470" s="154" t="s">
        <v>602</v>
      </c>
      <c r="B470" s="153" t="s">
        <v>564</v>
      </c>
      <c r="C470" s="6" t="s">
        <v>556</v>
      </c>
      <c r="D470" s="56">
        <v>41153</v>
      </c>
      <c r="E470" s="268">
        <v>42.56</v>
      </c>
      <c r="F470" s="54">
        <f t="shared" si="29"/>
        <v>2.7055355331369324E-2</v>
      </c>
      <c r="G470" s="80">
        <f t="shared" si="30"/>
        <v>1.1514759229030784</v>
      </c>
    </row>
    <row r="471" spans="1:7" x14ac:dyDescent="0.2">
      <c r="A471" s="154" t="s">
        <v>602</v>
      </c>
      <c r="B471" s="153" t="s">
        <v>564</v>
      </c>
      <c r="C471" s="6" t="s">
        <v>556</v>
      </c>
      <c r="D471" s="56">
        <v>41183</v>
      </c>
      <c r="E471" s="268">
        <v>276.43</v>
      </c>
      <c r="F471" s="54">
        <f t="shared" si="29"/>
        <v>2.7055355331369324E-2</v>
      </c>
      <c r="G471" s="80">
        <f t="shared" si="30"/>
        <v>7.4789118742504224</v>
      </c>
    </row>
    <row r="472" spans="1:7" x14ac:dyDescent="0.2">
      <c r="A472" s="154" t="s">
        <v>602</v>
      </c>
      <c r="B472" s="153" t="s">
        <v>228</v>
      </c>
      <c r="C472" s="6" t="s">
        <v>358</v>
      </c>
      <c r="D472" s="56">
        <v>41122</v>
      </c>
      <c r="E472" s="268">
        <v>1430.51</v>
      </c>
      <c r="F472" s="54">
        <f t="shared" si="29"/>
        <v>2.7055355331369324E-2</v>
      </c>
      <c r="G472" s="80">
        <f t="shared" si="30"/>
        <v>38.702956355077134</v>
      </c>
    </row>
    <row r="473" spans="1:7" x14ac:dyDescent="0.2">
      <c r="A473" s="154" t="s">
        <v>602</v>
      </c>
      <c r="B473" s="66" t="s">
        <v>228</v>
      </c>
      <c r="C473" s="6" t="s">
        <v>358</v>
      </c>
      <c r="D473" s="56">
        <v>41153</v>
      </c>
      <c r="E473" s="268">
        <v>20176.02</v>
      </c>
      <c r="F473" s="54">
        <f>$B$9</f>
        <v>2.7055355331369324E-2</v>
      </c>
      <c r="G473" s="80">
        <f t="shared" si="28"/>
        <v>545.86939027281414</v>
      </c>
    </row>
    <row r="474" spans="1:7" x14ac:dyDescent="0.2">
      <c r="A474" s="154" t="s">
        <v>602</v>
      </c>
      <c r="B474" s="153" t="s">
        <v>228</v>
      </c>
      <c r="C474" s="6" t="s">
        <v>358</v>
      </c>
      <c r="D474" s="56">
        <v>41183</v>
      </c>
      <c r="E474" s="268">
        <v>4699.01</v>
      </c>
      <c r="F474" s="54">
        <f>$B$9</f>
        <v>2.7055355331369324E-2</v>
      </c>
      <c r="G474" s="80">
        <f t="shared" si="28"/>
        <v>127.13338525565777</v>
      </c>
    </row>
    <row r="475" spans="1:7" x14ac:dyDescent="0.2">
      <c r="A475" s="154" t="s">
        <v>603</v>
      </c>
      <c r="B475" s="153" t="s">
        <v>564</v>
      </c>
      <c r="C475" s="6" t="s">
        <v>556</v>
      </c>
      <c r="D475" s="56">
        <v>41122</v>
      </c>
      <c r="E475" s="268">
        <v>-1.25</v>
      </c>
      <c r="F475" s="54">
        <f>$B$9</f>
        <v>2.7055355331369324E-2</v>
      </c>
      <c r="G475" s="80">
        <f t="shared" si="28"/>
        <v>-3.3819194164211655E-2</v>
      </c>
    </row>
    <row r="476" spans="1:7" x14ac:dyDescent="0.2">
      <c r="A476" s="154" t="s">
        <v>603</v>
      </c>
      <c r="B476" s="155" t="s">
        <v>564</v>
      </c>
      <c r="C476" s="6" t="s">
        <v>556</v>
      </c>
      <c r="D476" s="56">
        <v>41153</v>
      </c>
      <c r="E476" s="266">
        <v>1.59</v>
      </c>
      <c r="F476" s="54">
        <f>$B$9</f>
        <v>2.7055355331369324E-2</v>
      </c>
      <c r="G476" s="80">
        <f t="shared" si="28"/>
        <v>4.3018014976877225E-2</v>
      </c>
    </row>
    <row r="477" spans="1:7" x14ac:dyDescent="0.2">
      <c r="A477" s="154" t="s">
        <v>603</v>
      </c>
      <c r="B477" s="155" t="s">
        <v>564</v>
      </c>
      <c r="C477" s="6" t="s">
        <v>556</v>
      </c>
      <c r="D477" s="56">
        <v>41183</v>
      </c>
      <c r="E477" s="266">
        <v>10.36</v>
      </c>
      <c r="F477" s="54">
        <f>$B$9</f>
        <v>2.7055355331369324E-2</v>
      </c>
      <c r="G477" s="80">
        <f t="shared" si="28"/>
        <v>0.2802934812329862</v>
      </c>
    </row>
    <row r="478" spans="1:7" x14ac:dyDescent="0.2">
      <c r="A478" s="79"/>
      <c r="B478" s="79"/>
      <c r="C478" s="79"/>
      <c r="D478" s="82"/>
      <c r="E478" s="83"/>
    </row>
    <row r="479" spans="1:7" ht="13.5" thickBot="1" x14ac:dyDescent="0.25">
      <c r="A479" s="79"/>
      <c r="B479" s="79"/>
      <c r="C479" s="12" t="s">
        <v>25</v>
      </c>
      <c r="D479" s="82"/>
      <c r="E479" s="265">
        <f>SUM(E447:E477)</f>
        <v>108595.50000000001</v>
      </c>
      <c r="G479" s="84">
        <f>SUM(G447:G477)</f>
        <v>2938.089839887718</v>
      </c>
    </row>
    <row r="480" spans="1:7" ht="13.5" thickTop="1" x14ac:dyDescent="0.2">
      <c r="A480" s="79"/>
      <c r="B480" s="79"/>
      <c r="C480" s="79"/>
      <c r="D480" s="82"/>
      <c r="E480" s="83"/>
    </row>
    <row r="481" spans="1:7" x14ac:dyDescent="0.2">
      <c r="A481" s="79"/>
      <c r="B481" s="79"/>
      <c r="C481" s="79"/>
      <c r="D481" s="82"/>
      <c r="E481" s="83"/>
    </row>
    <row r="482" spans="1:7" x14ac:dyDescent="0.2">
      <c r="A482" s="2" t="s">
        <v>37</v>
      </c>
      <c r="B482" s="79"/>
      <c r="C482" s="79"/>
      <c r="D482" s="82"/>
      <c r="E482" s="83"/>
    </row>
    <row r="483" spans="1:7" x14ac:dyDescent="0.2">
      <c r="A483" s="79"/>
      <c r="B483" s="79"/>
      <c r="C483" s="79"/>
      <c r="D483" s="82"/>
      <c r="E483" s="83"/>
    </row>
    <row r="484" spans="1:7" x14ac:dyDescent="0.2">
      <c r="A484" s="154">
        <v>38200</v>
      </c>
      <c r="B484" s="153" t="s">
        <v>466</v>
      </c>
      <c r="C484" s="6" t="s">
        <v>395</v>
      </c>
      <c r="D484" s="56">
        <v>41295</v>
      </c>
      <c r="E484" s="268">
        <v>12941.140000000009</v>
      </c>
      <c r="F484" s="54">
        <f>$B$10</f>
        <v>2.6513400221759475E-2</v>
      </c>
      <c r="G484" s="80">
        <f t="shared" ref="G484" si="31">E484*F484</f>
        <v>343.11362414582061</v>
      </c>
    </row>
    <row r="485" spans="1:7" x14ac:dyDescent="0.2">
      <c r="A485" s="154">
        <v>38200</v>
      </c>
      <c r="B485" s="153" t="s">
        <v>467</v>
      </c>
      <c r="C485" s="6" t="s">
        <v>396</v>
      </c>
      <c r="D485" s="56">
        <v>41298</v>
      </c>
      <c r="E485" s="268">
        <v>16332.430000000006</v>
      </c>
      <c r="F485" s="54">
        <f t="shared" ref="F485:F548" si="32">$B$10</f>
        <v>2.6513400221759475E-2</v>
      </c>
      <c r="G485" s="80">
        <f t="shared" ref="G485:G548" si="33">E485*F485</f>
        <v>433.02825318387124</v>
      </c>
    </row>
    <row r="486" spans="1:7" x14ac:dyDescent="0.2">
      <c r="A486" s="154">
        <v>38200</v>
      </c>
      <c r="B486" s="153" t="s">
        <v>468</v>
      </c>
      <c r="C486" s="6" t="s">
        <v>397</v>
      </c>
      <c r="D486" s="56">
        <v>41302</v>
      </c>
      <c r="E486" s="268">
        <v>765.41</v>
      </c>
      <c r="F486" s="54">
        <f t="shared" si="32"/>
        <v>2.6513400221759475E-2</v>
      </c>
      <c r="G486" s="80">
        <f t="shared" si="33"/>
        <v>20.293621663736918</v>
      </c>
    </row>
    <row r="487" spans="1:7" x14ac:dyDescent="0.2">
      <c r="A487" s="154">
        <v>38200</v>
      </c>
      <c r="B487" s="153" t="s">
        <v>469</v>
      </c>
      <c r="C487" s="6" t="s">
        <v>396</v>
      </c>
      <c r="D487" s="56">
        <v>41367</v>
      </c>
      <c r="E487" s="268">
        <v>32229.589999999789</v>
      </c>
      <c r="F487" s="54">
        <f t="shared" si="32"/>
        <v>2.6513400221759475E-2</v>
      </c>
      <c r="G487" s="80">
        <f t="shared" si="33"/>
        <v>854.5160186532114</v>
      </c>
    </row>
    <row r="488" spans="1:7" x14ac:dyDescent="0.2">
      <c r="A488" s="154">
        <v>38200</v>
      </c>
      <c r="B488" s="153" t="s">
        <v>470</v>
      </c>
      <c r="C488" s="6" t="s">
        <v>397</v>
      </c>
      <c r="D488" s="56">
        <v>41367</v>
      </c>
      <c r="E488" s="268">
        <v>6524.420000000001</v>
      </c>
      <c r="F488" s="54">
        <f t="shared" si="32"/>
        <v>2.6513400221759475E-2</v>
      </c>
      <c r="G488" s="80">
        <f t="shared" si="33"/>
        <v>172.98455867485197</v>
      </c>
    </row>
    <row r="489" spans="1:7" x14ac:dyDescent="0.2">
      <c r="A489" s="154">
        <v>38200</v>
      </c>
      <c r="B489" s="153" t="s">
        <v>471</v>
      </c>
      <c r="C489" s="6" t="s">
        <v>396</v>
      </c>
      <c r="D489" s="56">
        <v>41428</v>
      </c>
      <c r="E489" s="268">
        <v>45643.360000000001</v>
      </c>
      <c r="F489" s="54">
        <f t="shared" si="32"/>
        <v>2.6513400221759475E-2</v>
      </c>
      <c r="G489" s="80">
        <f t="shared" si="33"/>
        <v>1210.1606711458476</v>
      </c>
    </row>
    <row r="490" spans="1:7" x14ac:dyDescent="0.2">
      <c r="A490" s="154">
        <v>38200</v>
      </c>
      <c r="B490" s="153" t="s">
        <v>472</v>
      </c>
      <c r="C490" s="6" t="s">
        <v>397</v>
      </c>
      <c r="D490" s="56">
        <v>41428</v>
      </c>
      <c r="E490" s="268">
        <v>1995.33</v>
      </c>
      <c r="F490" s="54">
        <f t="shared" si="32"/>
        <v>2.6513400221759475E-2</v>
      </c>
      <c r="G490" s="80">
        <f t="shared" si="33"/>
        <v>52.902982864483334</v>
      </c>
    </row>
    <row r="491" spans="1:7" x14ac:dyDescent="0.2">
      <c r="A491" s="154">
        <v>38200</v>
      </c>
      <c r="B491" s="153" t="s">
        <v>473</v>
      </c>
      <c r="C491" s="6" t="s">
        <v>396</v>
      </c>
      <c r="D491" s="56">
        <v>41297</v>
      </c>
      <c r="E491" s="268">
        <v>14006.19</v>
      </c>
      <c r="F491" s="54">
        <f t="shared" si="32"/>
        <v>2.6513400221759475E-2</v>
      </c>
      <c r="G491" s="80">
        <f t="shared" si="33"/>
        <v>371.35172105200536</v>
      </c>
    </row>
    <row r="492" spans="1:7" x14ac:dyDescent="0.2">
      <c r="A492" s="154">
        <v>38200</v>
      </c>
      <c r="B492" s="153" t="s">
        <v>474</v>
      </c>
      <c r="C492" s="6" t="s">
        <v>397</v>
      </c>
      <c r="D492" s="56">
        <v>41297</v>
      </c>
      <c r="E492" s="268">
        <v>5659.840000000002</v>
      </c>
      <c r="F492" s="54">
        <f t="shared" si="32"/>
        <v>2.6513400221759475E-2</v>
      </c>
      <c r="G492" s="80">
        <f t="shared" si="33"/>
        <v>150.06160311112319</v>
      </c>
    </row>
    <row r="493" spans="1:7" x14ac:dyDescent="0.2">
      <c r="A493" s="154">
        <v>38200</v>
      </c>
      <c r="B493" s="153" t="s">
        <v>475</v>
      </c>
      <c r="C493" s="6" t="s">
        <v>396</v>
      </c>
      <c r="D493" s="56">
        <v>41367</v>
      </c>
      <c r="E493" s="268">
        <v>14608.68</v>
      </c>
      <c r="F493" s="54">
        <f t="shared" si="32"/>
        <v>2.6513400221759475E-2</v>
      </c>
      <c r="G493" s="80">
        <f t="shared" si="33"/>
        <v>387.32577955161321</v>
      </c>
    </row>
    <row r="494" spans="1:7" x14ac:dyDescent="0.2">
      <c r="A494" s="154">
        <v>38200</v>
      </c>
      <c r="B494" s="153" t="s">
        <v>476</v>
      </c>
      <c r="C494" s="6" t="s">
        <v>397</v>
      </c>
      <c r="D494" s="56">
        <v>41367</v>
      </c>
      <c r="E494" s="268">
        <v>6412.17</v>
      </c>
      <c r="F494" s="54">
        <f t="shared" si="32"/>
        <v>2.6513400221759475E-2</v>
      </c>
      <c r="G494" s="80">
        <f t="shared" si="33"/>
        <v>170.00842949995945</v>
      </c>
    </row>
    <row r="495" spans="1:7" x14ac:dyDescent="0.2">
      <c r="A495" s="154">
        <v>38200</v>
      </c>
      <c r="B495" s="153" t="s">
        <v>477</v>
      </c>
      <c r="C495" s="6" t="s">
        <v>396</v>
      </c>
      <c r="D495" s="56">
        <v>41428</v>
      </c>
      <c r="E495" s="268">
        <v>5761.9600000000009</v>
      </c>
      <c r="F495" s="54">
        <f t="shared" si="32"/>
        <v>2.6513400221759475E-2</v>
      </c>
      <c r="G495" s="80">
        <f t="shared" si="33"/>
        <v>152.76915154176925</v>
      </c>
    </row>
    <row r="496" spans="1:7" x14ac:dyDescent="0.2">
      <c r="A496" s="154">
        <v>38200</v>
      </c>
      <c r="B496" s="153" t="s">
        <v>478</v>
      </c>
      <c r="C496" s="6" t="s">
        <v>397</v>
      </c>
      <c r="D496" s="56">
        <v>41428</v>
      </c>
      <c r="E496" s="268">
        <v>5661.72</v>
      </c>
      <c r="F496" s="54">
        <f t="shared" si="32"/>
        <v>2.6513400221759475E-2</v>
      </c>
      <c r="G496" s="80">
        <f t="shared" si="33"/>
        <v>150.11144830354007</v>
      </c>
    </row>
    <row r="497" spans="1:7" x14ac:dyDescent="0.2">
      <c r="A497" s="154">
        <v>38200</v>
      </c>
      <c r="B497" s="153" t="s">
        <v>479</v>
      </c>
      <c r="C497" s="6" t="s">
        <v>396</v>
      </c>
      <c r="D497" s="56">
        <v>41297</v>
      </c>
      <c r="E497" s="268">
        <v>9977.2500000000182</v>
      </c>
      <c r="F497" s="54">
        <f t="shared" si="32"/>
        <v>2.6513400221759475E-2</v>
      </c>
      <c r="G497" s="80">
        <f t="shared" si="33"/>
        <v>264.53082236255023</v>
      </c>
    </row>
    <row r="498" spans="1:7" x14ac:dyDescent="0.2">
      <c r="A498" s="154">
        <v>38200</v>
      </c>
      <c r="B498" s="153" t="s">
        <v>480</v>
      </c>
      <c r="C498" s="6" t="s">
        <v>397</v>
      </c>
      <c r="D498" s="56">
        <v>41297</v>
      </c>
      <c r="E498" s="268">
        <v>574.26</v>
      </c>
      <c r="F498" s="54">
        <f t="shared" si="32"/>
        <v>2.6513400221759475E-2</v>
      </c>
      <c r="G498" s="80">
        <f t="shared" si="33"/>
        <v>15.225585211347596</v>
      </c>
    </row>
    <row r="499" spans="1:7" x14ac:dyDescent="0.2">
      <c r="A499" s="154">
        <v>38200</v>
      </c>
      <c r="B499" s="153" t="s">
        <v>481</v>
      </c>
      <c r="C499" s="6" t="s">
        <v>396</v>
      </c>
      <c r="D499" s="56">
        <v>41367</v>
      </c>
      <c r="E499" s="268">
        <v>21740.569999999942</v>
      </c>
      <c r="F499" s="54">
        <f t="shared" si="32"/>
        <v>2.6513400221759475E-2</v>
      </c>
      <c r="G499" s="80">
        <f t="shared" si="33"/>
        <v>576.41643345917589</v>
      </c>
    </row>
    <row r="500" spans="1:7" x14ac:dyDescent="0.2">
      <c r="A500" s="154">
        <v>38200</v>
      </c>
      <c r="B500" s="153" t="s">
        <v>482</v>
      </c>
      <c r="C500" s="6" t="s">
        <v>397</v>
      </c>
      <c r="D500" s="56">
        <v>41367</v>
      </c>
      <c r="E500" s="268">
        <v>1291.02</v>
      </c>
      <c r="F500" s="54">
        <f t="shared" si="32"/>
        <v>2.6513400221759475E-2</v>
      </c>
      <c r="G500" s="80">
        <f t="shared" si="33"/>
        <v>34.229329954295913</v>
      </c>
    </row>
    <row r="501" spans="1:7" x14ac:dyDescent="0.2">
      <c r="A501" s="154">
        <v>38200</v>
      </c>
      <c r="B501" s="153" t="s">
        <v>483</v>
      </c>
      <c r="C501" s="6" t="s">
        <v>396</v>
      </c>
      <c r="D501" s="56">
        <v>41428</v>
      </c>
      <c r="E501" s="268">
        <v>11884.790000000005</v>
      </c>
      <c r="F501" s="54">
        <f t="shared" si="32"/>
        <v>2.6513400221759475E-2</v>
      </c>
      <c r="G501" s="80">
        <f t="shared" si="33"/>
        <v>315.10619382156489</v>
      </c>
    </row>
    <row r="502" spans="1:7" x14ac:dyDescent="0.2">
      <c r="A502" s="154">
        <v>38200</v>
      </c>
      <c r="B502" s="153" t="s">
        <v>484</v>
      </c>
      <c r="C502" s="6" t="s">
        <v>397</v>
      </c>
      <c r="D502" s="56">
        <v>41428</v>
      </c>
      <c r="E502" s="268">
        <v>1718.61</v>
      </c>
      <c r="F502" s="54">
        <f t="shared" si="32"/>
        <v>2.6513400221759475E-2</v>
      </c>
      <c r="G502" s="80">
        <f t="shared" si="33"/>
        <v>45.566194755118048</v>
      </c>
    </row>
    <row r="503" spans="1:7" x14ac:dyDescent="0.2">
      <c r="A503" s="154">
        <v>38200</v>
      </c>
      <c r="B503" s="153" t="s">
        <v>485</v>
      </c>
      <c r="C503" s="6" t="s">
        <v>396</v>
      </c>
      <c r="D503" s="56">
        <v>41297</v>
      </c>
      <c r="E503" s="268">
        <v>10015.800000000001</v>
      </c>
      <c r="F503" s="54">
        <f t="shared" si="32"/>
        <v>2.6513400221759475E-2</v>
      </c>
      <c r="G503" s="80">
        <f t="shared" si="33"/>
        <v>265.55291394109855</v>
      </c>
    </row>
    <row r="504" spans="1:7" x14ac:dyDescent="0.2">
      <c r="A504" s="154">
        <v>38200</v>
      </c>
      <c r="B504" s="153" t="s">
        <v>486</v>
      </c>
      <c r="C504" s="6" t="s">
        <v>397</v>
      </c>
      <c r="D504" s="56">
        <v>41297</v>
      </c>
      <c r="E504" s="268">
        <v>6520.6300000000019</v>
      </c>
      <c r="F504" s="54">
        <f t="shared" si="32"/>
        <v>2.6513400221759475E-2</v>
      </c>
      <c r="G504" s="80">
        <f t="shared" si="33"/>
        <v>172.88407288801153</v>
      </c>
    </row>
    <row r="505" spans="1:7" x14ac:dyDescent="0.2">
      <c r="A505" s="154">
        <v>38200</v>
      </c>
      <c r="B505" s="153" t="s">
        <v>487</v>
      </c>
      <c r="C505" s="6" t="s">
        <v>396</v>
      </c>
      <c r="D505" s="56">
        <v>41378</v>
      </c>
      <c r="E505" s="268">
        <v>21572.679999999982</v>
      </c>
      <c r="F505" s="54">
        <f t="shared" si="32"/>
        <v>2.6513400221759475E-2</v>
      </c>
      <c r="G505" s="80">
        <f t="shared" si="33"/>
        <v>571.9650986959457</v>
      </c>
    </row>
    <row r="506" spans="1:7" x14ac:dyDescent="0.2">
      <c r="A506" s="154">
        <v>38200</v>
      </c>
      <c r="B506" s="153" t="s">
        <v>488</v>
      </c>
      <c r="C506" s="6" t="s">
        <v>397</v>
      </c>
      <c r="D506" s="56">
        <v>41382</v>
      </c>
      <c r="E506" s="268">
        <v>7218.39</v>
      </c>
      <c r="F506" s="54">
        <f t="shared" si="32"/>
        <v>2.6513400221759475E-2</v>
      </c>
      <c r="G506" s="80">
        <f t="shared" si="33"/>
        <v>191.38406302674639</v>
      </c>
    </row>
    <row r="507" spans="1:7" x14ac:dyDescent="0.2">
      <c r="A507" s="154">
        <v>38200</v>
      </c>
      <c r="B507" s="153" t="s">
        <v>489</v>
      </c>
      <c r="C507" s="6" t="s">
        <v>396</v>
      </c>
      <c r="D507" s="56">
        <v>41428</v>
      </c>
      <c r="E507" s="268">
        <v>14208.060000000014</v>
      </c>
      <c r="F507" s="54">
        <f t="shared" si="32"/>
        <v>2.6513400221759475E-2</v>
      </c>
      <c r="G507" s="80">
        <f t="shared" si="33"/>
        <v>376.70398115477229</v>
      </c>
    </row>
    <row r="508" spans="1:7" x14ac:dyDescent="0.2">
      <c r="A508" s="154">
        <v>38200</v>
      </c>
      <c r="B508" s="153" t="s">
        <v>490</v>
      </c>
      <c r="C508" s="6" t="s">
        <v>397</v>
      </c>
      <c r="D508" s="56">
        <v>41428</v>
      </c>
      <c r="E508" s="268">
        <v>24015.08</v>
      </c>
      <c r="F508" s="54">
        <f t="shared" si="32"/>
        <v>2.6513400221759475E-2</v>
      </c>
      <c r="G508" s="80">
        <f t="shared" si="33"/>
        <v>636.72142739757157</v>
      </c>
    </row>
    <row r="509" spans="1:7" x14ac:dyDescent="0.2">
      <c r="A509" s="154" t="s">
        <v>601</v>
      </c>
      <c r="B509" s="153" t="s">
        <v>230</v>
      </c>
      <c r="C509" s="6" t="s">
        <v>296</v>
      </c>
      <c r="D509" s="56">
        <v>41122</v>
      </c>
      <c r="E509" s="268">
        <v>3014.1</v>
      </c>
      <c r="F509" s="54">
        <f t="shared" si="32"/>
        <v>2.6513400221759475E-2</v>
      </c>
      <c r="G509" s="80">
        <f t="shared" si="33"/>
        <v>79.914039608405233</v>
      </c>
    </row>
    <row r="510" spans="1:7" x14ac:dyDescent="0.2">
      <c r="A510" s="154" t="s">
        <v>601</v>
      </c>
      <c r="B510" s="153" t="s">
        <v>230</v>
      </c>
      <c r="C510" s="6" t="s">
        <v>296</v>
      </c>
      <c r="D510" s="56">
        <v>41153</v>
      </c>
      <c r="E510" s="268">
        <v>3575.37</v>
      </c>
      <c r="F510" s="54">
        <f t="shared" si="32"/>
        <v>2.6513400221759475E-2</v>
      </c>
      <c r="G510" s="80">
        <f t="shared" si="33"/>
        <v>94.795215750872174</v>
      </c>
    </row>
    <row r="511" spans="1:7" x14ac:dyDescent="0.2">
      <c r="A511" s="154" t="s">
        <v>601</v>
      </c>
      <c r="B511" s="153" t="s">
        <v>230</v>
      </c>
      <c r="C511" s="6" t="s">
        <v>296</v>
      </c>
      <c r="D511" s="56">
        <v>41183</v>
      </c>
      <c r="E511" s="268">
        <v>4935.24</v>
      </c>
      <c r="F511" s="54">
        <f t="shared" si="32"/>
        <v>2.6513400221759475E-2</v>
      </c>
      <c r="G511" s="80">
        <f t="shared" si="33"/>
        <v>130.84999331043622</v>
      </c>
    </row>
    <row r="512" spans="1:7" x14ac:dyDescent="0.2">
      <c r="A512" s="154" t="s">
        <v>601</v>
      </c>
      <c r="B512" s="153" t="s">
        <v>231</v>
      </c>
      <c r="C512" s="6" t="s">
        <v>298</v>
      </c>
      <c r="D512" s="56">
        <v>41122</v>
      </c>
      <c r="E512" s="268">
        <v>435.97</v>
      </c>
      <c r="F512" s="54">
        <f t="shared" si="32"/>
        <v>2.6513400221759475E-2</v>
      </c>
      <c r="G512" s="80">
        <f t="shared" si="33"/>
        <v>11.559047094680478</v>
      </c>
    </row>
    <row r="513" spans="1:7" x14ac:dyDescent="0.2">
      <c r="A513" s="154" t="s">
        <v>601</v>
      </c>
      <c r="B513" s="153" t="s">
        <v>231</v>
      </c>
      <c r="C513" s="6" t="s">
        <v>298</v>
      </c>
      <c r="D513" s="56">
        <v>41153</v>
      </c>
      <c r="E513" s="268">
        <v>14340.050000000001</v>
      </c>
      <c r="F513" s="54">
        <f t="shared" si="32"/>
        <v>2.6513400221759475E-2</v>
      </c>
      <c r="G513" s="80">
        <f t="shared" si="33"/>
        <v>380.203484850042</v>
      </c>
    </row>
    <row r="514" spans="1:7" x14ac:dyDescent="0.2">
      <c r="A514" s="154" t="s">
        <v>601</v>
      </c>
      <c r="B514" s="153" t="s">
        <v>231</v>
      </c>
      <c r="C514" s="6" t="s">
        <v>298</v>
      </c>
      <c r="D514" s="56">
        <v>41183</v>
      </c>
      <c r="E514" s="268">
        <v>13316.460000000001</v>
      </c>
      <c r="F514" s="54">
        <f t="shared" si="32"/>
        <v>2.6513400221759475E-2</v>
      </c>
      <c r="G514" s="80">
        <f t="shared" si="33"/>
        <v>353.06463351705122</v>
      </c>
    </row>
    <row r="515" spans="1:7" x14ac:dyDescent="0.2">
      <c r="A515" s="154" t="s">
        <v>601</v>
      </c>
      <c r="B515" s="153" t="s">
        <v>232</v>
      </c>
      <c r="C515" s="6" t="s">
        <v>329</v>
      </c>
      <c r="D515" s="56">
        <v>41122</v>
      </c>
      <c r="E515" s="268">
        <v>448.27</v>
      </c>
      <c r="F515" s="54">
        <f t="shared" si="32"/>
        <v>2.6513400221759475E-2</v>
      </c>
      <c r="G515" s="80">
        <f t="shared" si="33"/>
        <v>11.885161917408119</v>
      </c>
    </row>
    <row r="516" spans="1:7" x14ac:dyDescent="0.2">
      <c r="A516" s="154" t="s">
        <v>601</v>
      </c>
      <c r="B516" s="153" t="s">
        <v>232</v>
      </c>
      <c r="C516" s="6" t="s">
        <v>329</v>
      </c>
      <c r="D516" s="56">
        <v>41153</v>
      </c>
      <c r="E516" s="268">
        <v>1952.42</v>
      </c>
      <c r="F516" s="54">
        <f t="shared" si="32"/>
        <v>2.6513400221759475E-2</v>
      </c>
      <c r="G516" s="80">
        <f t="shared" si="33"/>
        <v>51.765292860967634</v>
      </c>
    </row>
    <row r="517" spans="1:7" x14ac:dyDescent="0.2">
      <c r="A517" s="154" t="s">
        <v>601</v>
      </c>
      <c r="B517" s="153" t="s">
        <v>232</v>
      </c>
      <c r="C517" s="6" t="s">
        <v>329</v>
      </c>
      <c r="D517" s="56">
        <v>41183</v>
      </c>
      <c r="E517" s="268">
        <v>1337.33</v>
      </c>
      <c r="F517" s="54">
        <f t="shared" si="32"/>
        <v>2.6513400221759475E-2</v>
      </c>
      <c r="G517" s="80">
        <f t="shared" si="33"/>
        <v>35.457165518565596</v>
      </c>
    </row>
    <row r="518" spans="1:7" x14ac:dyDescent="0.2">
      <c r="A518" s="154" t="s">
        <v>601</v>
      </c>
      <c r="B518" s="153" t="s">
        <v>233</v>
      </c>
      <c r="C518" s="6" t="s">
        <v>331</v>
      </c>
      <c r="D518" s="56">
        <v>41122</v>
      </c>
      <c r="E518" s="268">
        <v>-93.75</v>
      </c>
      <c r="F518" s="54">
        <f t="shared" si="32"/>
        <v>2.6513400221759475E-2</v>
      </c>
      <c r="G518" s="80">
        <f t="shared" si="33"/>
        <v>-2.4856312707899506</v>
      </c>
    </row>
    <row r="519" spans="1:7" x14ac:dyDescent="0.2">
      <c r="A519" s="154" t="s">
        <v>601</v>
      </c>
      <c r="B519" s="153" t="s">
        <v>233</v>
      </c>
      <c r="C519" s="6" t="s">
        <v>331</v>
      </c>
      <c r="D519" s="56">
        <v>41153</v>
      </c>
      <c r="E519" s="268">
        <v>967.85</v>
      </c>
      <c r="F519" s="54">
        <f t="shared" si="32"/>
        <v>2.6513400221759475E-2</v>
      </c>
      <c r="G519" s="80">
        <f t="shared" si="33"/>
        <v>25.660994404629907</v>
      </c>
    </row>
    <row r="520" spans="1:7" x14ac:dyDescent="0.2">
      <c r="A520" s="154" t="s">
        <v>601</v>
      </c>
      <c r="B520" s="153" t="s">
        <v>233</v>
      </c>
      <c r="C520" s="6" t="s">
        <v>331</v>
      </c>
      <c r="D520" s="56">
        <v>41183</v>
      </c>
      <c r="E520" s="268">
        <v>-1.53</v>
      </c>
      <c r="F520" s="54">
        <f t="shared" si="32"/>
        <v>2.6513400221759475E-2</v>
      </c>
      <c r="G520" s="80">
        <f t="shared" si="33"/>
        <v>-4.0565502339292001E-2</v>
      </c>
    </row>
    <row r="521" spans="1:7" x14ac:dyDescent="0.2">
      <c r="A521" s="154" t="s">
        <v>601</v>
      </c>
      <c r="B521" s="153" t="s">
        <v>234</v>
      </c>
      <c r="C521" s="6" t="s">
        <v>333</v>
      </c>
      <c r="D521" s="56">
        <v>41122</v>
      </c>
      <c r="E521" s="268">
        <v>223.17000000000002</v>
      </c>
      <c r="F521" s="54">
        <f t="shared" si="32"/>
        <v>2.6513400221759475E-2</v>
      </c>
      <c r="G521" s="80">
        <f t="shared" si="33"/>
        <v>5.9169955274900623</v>
      </c>
    </row>
    <row r="522" spans="1:7" x14ac:dyDescent="0.2">
      <c r="A522" s="154" t="s">
        <v>601</v>
      </c>
      <c r="B522" s="153" t="s">
        <v>234</v>
      </c>
      <c r="C522" s="6" t="s">
        <v>333</v>
      </c>
      <c r="D522" s="56">
        <v>41153</v>
      </c>
      <c r="E522" s="268">
        <v>1519.1000000000001</v>
      </c>
      <c r="F522" s="54">
        <f t="shared" si="32"/>
        <v>2.6513400221759475E-2</v>
      </c>
      <c r="G522" s="80">
        <f t="shared" si="33"/>
        <v>40.276506276874819</v>
      </c>
    </row>
    <row r="523" spans="1:7" x14ac:dyDescent="0.2">
      <c r="A523" s="154" t="s">
        <v>601</v>
      </c>
      <c r="B523" s="153" t="s">
        <v>235</v>
      </c>
      <c r="C523" s="6" t="s">
        <v>334</v>
      </c>
      <c r="D523" s="56">
        <v>41122</v>
      </c>
      <c r="E523" s="268">
        <v>4689.79</v>
      </c>
      <c r="F523" s="54">
        <f t="shared" si="32"/>
        <v>2.6513400221759475E-2</v>
      </c>
      <c r="G523" s="80">
        <f t="shared" si="33"/>
        <v>124.34227922600536</v>
      </c>
    </row>
    <row r="524" spans="1:7" x14ac:dyDescent="0.2">
      <c r="A524" s="154" t="s">
        <v>601</v>
      </c>
      <c r="B524" s="153" t="s">
        <v>235</v>
      </c>
      <c r="C524" s="6" t="s">
        <v>334</v>
      </c>
      <c r="D524" s="56">
        <v>41153</v>
      </c>
      <c r="E524" s="268">
        <v>12855.6</v>
      </c>
      <c r="F524" s="54">
        <f t="shared" si="32"/>
        <v>2.6513400221759475E-2</v>
      </c>
      <c r="G524" s="80">
        <f t="shared" si="33"/>
        <v>340.84566789085113</v>
      </c>
    </row>
    <row r="525" spans="1:7" x14ac:dyDescent="0.2">
      <c r="A525" s="154" t="s">
        <v>601</v>
      </c>
      <c r="B525" s="153" t="s">
        <v>235</v>
      </c>
      <c r="C525" s="6" t="s">
        <v>334</v>
      </c>
      <c r="D525" s="56">
        <v>41183</v>
      </c>
      <c r="E525" s="268">
        <v>11620.47</v>
      </c>
      <c r="F525" s="54">
        <f t="shared" si="32"/>
        <v>2.6513400221759475E-2</v>
      </c>
      <c r="G525" s="80">
        <f t="shared" si="33"/>
        <v>308.09817187494929</v>
      </c>
    </row>
    <row r="526" spans="1:7" x14ac:dyDescent="0.2">
      <c r="A526" s="154" t="s">
        <v>602</v>
      </c>
      <c r="B526" s="153" t="s">
        <v>596</v>
      </c>
      <c r="C526" s="6" t="s">
        <v>267</v>
      </c>
      <c r="D526" s="56">
        <v>41153</v>
      </c>
      <c r="E526" s="268">
        <v>591.84</v>
      </c>
      <c r="F526" s="54">
        <f t="shared" si="32"/>
        <v>2.6513400221759475E-2</v>
      </c>
      <c r="G526" s="80">
        <f t="shared" si="33"/>
        <v>15.691690787246129</v>
      </c>
    </row>
    <row r="527" spans="1:7" x14ac:dyDescent="0.2">
      <c r="A527" s="154" t="s">
        <v>602</v>
      </c>
      <c r="B527" s="153" t="s">
        <v>230</v>
      </c>
      <c r="C527" s="6" t="s">
        <v>296</v>
      </c>
      <c r="D527" s="56">
        <v>41122</v>
      </c>
      <c r="E527" s="268">
        <v>3340.81</v>
      </c>
      <c r="F527" s="54">
        <f t="shared" si="32"/>
        <v>2.6513400221759475E-2</v>
      </c>
      <c r="G527" s="80">
        <f t="shared" si="33"/>
        <v>88.576232594856265</v>
      </c>
    </row>
    <row r="528" spans="1:7" x14ac:dyDescent="0.2">
      <c r="A528" s="154" t="s">
        <v>602</v>
      </c>
      <c r="B528" s="153" t="s">
        <v>230</v>
      </c>
      <c r="C528" s="6" t="s">
        <v>296</v>
      </c>
      <c r="D528" s="56">
        <v>41153</v>
      </c>
      <c r="E528" s="268">
        <v>2861.35</v>
      </c>
      <c r="F528" s="54">
        <f t="shared" si="32"/>
        <v>2.6513400221759475E-2</v>
      </c>
      <c r="G528" s="80">
        <f t="shared" si="33"/>
        <v>75.864117724531468</v>
      </c>
    </row>
    <row r="529" spans="1:7" x14ac:dyDescent="0.2">
      <c r="A529" s="154" t="s">
        <v>602</v>
      </c>
      <c r="B529" s="153" t="s">
        <v>230</v>
      </c>
      <c r="C529" s="6" t="s">
        <v>296</v>
      </c>
      <c r="D529" s="56">
        <v>41183</v>
      </c>
      <c r="E529" s="268">
        <v>4393.91</v>
      </c>
      <c r="F529" s="54">
        <f t="shared" si="32"/>
        <v>2.6513400221759475E-2</v>
      </c>
      <c r="G529" s="80">
        <f t="shared" si="33"/>
        <v>116.49749436839117</v>
      </c>
    </row>
    <row r="530" spans="1:7" x14ac:dyDescent="0.2">
      <c r="A530" s="154" t="s">
        <v>602</v>
      </c>
      <c r="B530" s="153" t="s">
        <v>236</v>
      </c>
      <c r="C530" s="6" t="s">
        <v>300</v>
      </c>
      <c r="D530" s="56">
        <v>41122</v>
      </c>
      <c r="E530" s="268">
        <v>5309.41</v>
      </c>
      <c r="F530" s="54">
        <f t="shared" si="32"/>
        <v>2.6513400221759475E-2</v>
      </c>
      <c r="G530" s="80">
        <f t="shared" si="33"/>
        <v>140.77051227141197</v>
      </c>
    </row>
    <row r="531" spans="1:7" x14ac:dyDescent="0.2">
      <c r="A531" s="154" t="s">
        <v>602</v>
      </c>
      <c r="B531" s="153" t="s">
        <v>236</v>
      </c>
      <c r="C531" s="6" t="s">
        <v>300</v>
      </c>
      <c r="D531" s="56">
        <v>41153</v>
      </c>
      <c r="E531" s="268">
        <v>11139.43</v>
      </c>
      <c r="F531" s="54">
        <f t="shared" si="32"/>
        <v>2.6513400221759475E-2</v>
      </c>
      <c r="G531" s="80">
        <f t="shared" si="33"/>
        <v>295.34416583227414</v>
      </c>
    </row>
    <row r="532" spans="1:7" x14ac:dyDescent="0.2">
      <c r="A532" s="154" t="s">
        <v>602</v>
      </c>
      <c r="B532" s="153" t="s">
        <v>236</v>
      </c>
      <c r="C532" s="6" t="s">
        <v>300</v>
      </c>
      <c r="D532" s="56">
        <v>41183</v>
      </c>
      <c r="E532" s="268">
        <v>22774.7</v>
      </c>
      <c r="F532" s="54">
        <f t="shared" si="32"/>
        <v>2.6513400221759475E-2</v>
      </c>
      <c r="G532" s="80">
        <f t="shared" si="33"/>
        <v>603.8347360305055</v>
      </c>
    </row>
    <row r="533" spans="1:7" x14ac:dyDescent="0.2">
      <c r="A533" s="154" t="s">
        <v>602</v>
      </c>
      <c r="B533" s="153" t="s">
        <v>237</v>
      </c>
      <c r="C533" s="6" t="s">
        <v>301</v>
      </c>
      <c r="D533" s="56">
        <v>41122</v>
      </c>
      <c r="E533" s="268">
        <v>5488.7</v>
      </c>
      <c r="F533" s="54">
        <f t="shared" si="32"/>
        <v>2.6513400221759475E-2</v>
      </c>
      <c r="G533" s="80">
        <f t="shared" si="33"/>
        <v>145.52409979717123</v>
      </c>
    </row>
    <row r="534" spans="1:7" x14ac:dyDescent="0.2">
      <c r="A534" s="154" t="s">
        <v>602</v>
      </c>
      <c r="B534" s="153" t="s">
        <v>237</v>
      </c>
      <c r="C534" s="6" t="s">
        <v>301</v>
      </c>
      <c r="D534" s="56">
        <v>41153</v>
      </c>
      <c r="E534" s="268">
        <v>35120.910000000003</v>
      </c>
      <c r="F534" s="54">
        <f t="shared" si="32"/>
        <v>2.6513400221759475E-2</v>
      </c>
      <c r="G534" s="80">
        <f t="shared" si="33"/>
        <v>931.1747429823946</v>
      </c>
    </row>
    <row r="535" spans="1:7" x14ac:dyDescent="0.2">
      <c r="A535" s="154" t="s">
        <v>602</v>
      </c>
      <c r="B535" s="153" t="s">
        <v>237</v>
      </c>
      <c r="C535" s="6" t="s">
        <v>301</v>
      </c>
      <c r="D535" s="56">
        <v>41183</v>
      </c>
      <c r="E535" s="268">
        <v>11849.31</v>
      </c>
      <c r="F535" s="54">
        <f t="shared" si="32"/>
        <v>2.6513400221759475E-2</v>
      </c>
      <c r="G535" s="80">
        <f t="shared" si="33"/>
        <v>314.16549838169675</v>
      </c>
    </row>
    <row r="536" spans="1:7" x14ac:dyDescent="0.2">
      <c r="A536" s="154" t="s">
        <v>602</v>
      </c>
      <c r="B536" s="153" t="s">
        <v>232</v>
      </c>
      <c r="C536" s="6" t="s">
        <v>329</v>
      </c>
      <c r="D536" s="56">
        <v>41122</v>
      </c>
      <c r="E536" s="268">
        <v>1500.68</v>
      </c>
      <c r="F536" s="54">
        <f t="shared" si="32"/>
        <v>2.6513400221759475E-2</v>
      </c>
      <c r="G536" s="80">
        <f t="shared" si="33"/>
        <v>39.788129444790009</v>
      </c>
    </row>
    <row r="537" spans="1:7" x14ac:dyDescent="0.2">
      <c r="A537" s="154" t="s">
        <v>602</v>
      </c>
      <c r="B537" s="153" t="s">
        <v>232</v>
      </c>
      <c r="C537" s="6" t="s">
        <v>329</v>
      </c>
      <c r="D537" s="56">
        <v>41153</v>
      </c>
      <c r="E537" s="268">
        <v>6536.38</v>
      </c>
      <c r="F537" s="54">
        <f t="shared" si="32"/>
        <v>2.6513400221759475E-2</v>
      </c>
      <c r="G537" s="80">
        <f t="shared" si="33"/>
        <v>173.3016589415042</v>
      </c>
    </row>
    <row r="538" spans="1:7" x14ac:dyDescent="0.2">
      <c r="A538" s="154" t="s">
        <v>602</v>
      </c>
      <c r="B538" s="153" t="s">
        <v>232</v>
      </c>
      <c r="C538" s="6" t="s">
        <v>329</v>
      </c>
      <c r="D538" s="56">
        <v>41183</v>
      </c>
      <c r="E538" s="268">
        <v>4477.1400000000003</v>
      </c>
      <c r="F538" s="54">
        <f t="shared" si="32"/>
        <v>2.6513400221759475E-2</v>
      </c>
      <c r="G538" s="80">
        <f t="shared" si="33"/>
        <v>118.70420466884822</v>
      </c>
    </row>
    <row r="539" spans="1:7" x14ac:dyDescent="0.2">
      <c r="A539" s="154" t="s">
        <v>602</v>
      </c>
      <c r="B539" s="153" t="s">
        <v>233</v>
      </c>
      <c r="C539" s="6" t="s">
        <v>331</v>
      </c>
      <c r="D539" s="56">
        <v>41183</v>
      </c>
      <c r="E539" s="268">
        <v>-48.88</v>
      </c>
      <c r="F539" s="54">
        <f t="shared" si="32"/>
        <v>2.6513400221759475E-2</v>
      </c>
      <c r="G539" s="80">
        <f t="shared" si="33"/>
        <v>-1.2959750028396031</v>
      </c>
    </row>
    <row r="540" spans="1:7" x14ac:dyDescent="0.2">
      <c r="A540" s="154" t="s">
        <v>603</v>
      </c>
      <c r="B540" s="153" t="s">
        <v>241</v>
      </c>
      <c r="C540" s="6" t="s">
        <v>308</v>
      </c>
      <c r="D540" s="56">
        <v>41122</v>
      </c>
      <c r="E540" s="268">
        <v>277.34000000000003</v>
      </c>
      <c r="F540" s="54">
        <f t="shared" si="32"/>
        <v>2.6513400221759475E-2</v>
      </c>
      <c r="G540" s="80">
        <f t="shared" si="33"/>
        <v>7.3532264175027739</v>
      </c>
    </row>
    <row r="541" spans="1:7" x14ac:dyDescent="0.2">
      <c r="A541" s="154" t="s">
        <v>603</v>
      </c>
      <c r="B541" s="153" t="s">
        <v>241</v>
      </c>
      <c r="C541" s="6" t="s">
        <v>308</v>
      </c>
      <c r="D541" s="56">
        <v>41153</v>
      </c>
      <c r="E541" s="268">
        <v>1142.29</v>
      </c>
      <c r="F541" s="54">
        <f t="shared" si="32"/>
        <v>2.6513400221759475E-2</v>
      </c>
      <c r="G541" s="80">
        <f t="shared" si="33"/>
        <v>30.285991939313629</v>
      </c>
    </row>
    <row r="542" spans="1:7" x14ac:dyDescent="0.2">
      <c r="A542" s="154" t="s">
        <v>603</v>
      </c>
      <c r="B542" s="153" t="s">
        <v>241</v>
      </c>
      <c r="C542" s="6" t="s">
        <v>308</v>
      </c>
      <c r="D542" s="56">
        <v>41183</v>
      </c>
      <c r="E542" s="268">
        <v>611.98</v>
      </c>
      <c r="F542" s="54">
        <f t="shared" si="32"/>
        <v>2.6513400221759475E-2</v>
      </c>
      <c r="G542" s="80">
        <f t="shared" si="33"/>
        <v>16.225670667712365</v>
      </c>
    </row>
    <row r="543" spans="1:7" x14ac:dyDescent="0.2">
      <c r="A543" s="154" t="s">
        <v>603</v>
      </c>
      <c r="B543" s="153" t="s">
        <v>234</v>
      </c>
      <c r="C543" s="6" t="s">
        <v>333</v>
      </c>
      <c r="D543" s="56">
        <v>41122</v>
      </c>
      <c r="E543" s="268">
        <v>24.79</v>
      </c>
      <c r="F543" s="54">
        <f t="shared" si="32"/>
        <v>2.6513400221759475E-2</v>
      </c>
      <c r="G543" s="80">
        <f t="shared" si="33"/>
        <v>0.65726719149741741</v>
      </c>
    </row>
    <row r="544" spans="1:7" x14ac:dyDescent="0.2">
      <c r="A544" s="154" t="s">
        <v>603</v>
      </c>
      <c r="B544" s="153" t="s">
        <v>234</v>
      </c>
      <c r="C544" s="6" t="s">
        <v>333</v>
      </c>
      <c r="D544" s="56">
        <v>41153</v>
      </c>
      <c r="E544" s="268">
        <v>168.79</v>
      </c>
      <c r="F544" s="54">
        <f t="shared" si="32"/>
        <v>2.6513400221759475E-2</v>
      </c>
      <c r="G544" s="80">
        <f t="shared" si="33"/>
        <v>4.4751968234307817</v>
      </c>
    </row>
    <row r="545" spans="1:7" x14ac:dyDescent="0.2">
      <c r="A545" s="154" t="s">
        <v>601</v>
      </c>
      <c r="B545" s="153" t="s">
        <v>230</v>
      </c>
      <c r="C545" s="6" t="s">
        <v>296</v>
      </c>
      <c r="D545" s="56">
        <v>41061</v>
      </c>
      <c r="E545" s="268">
        <v>5899.74</v>
      </c>
      <c r="F545" s="54">
        <f t="shared" si="32"/>
        <v>2.6513400221759475E-2</v>
      </c>
      <c r="G545" s="80">
        <f t="shared" si="33"/>
        <v>156.42216782432322</v>
      </c>
    </row>
    <row r="546" spans="1:7" x14ac:dyDescent="0.2">
      <c r="A546" s="154" t="s">
        <v>601</v>
      </c>
      <c r="B546" s="153" t="s">
        <v>230</v>
      </c>
      <c r="C546" s="6" t="s">
        <v>296</v>
      </c>
      <c r="D546" s="56">
        <v>41091</v>
      </c>
      <c r="E546" s="268">
        <v>6386.28</v>
      </c>
      <c r="F546" s="54">
        <f t="shared" si="32"/>
        <v>2.6513400221759475E-2</v>
      </c>
      <c r="G546" s="80">
        <f t="shared" si="33"/>
        <v>169.32199756821808</v>
      </c>
    </row>
    <row r="547" spans="1:7" x14ac:dyDescent="0.2">
      <c r="A547" s="154" t="s">
        <v>601</v>
      </c>
      <c r="B547" s="153" t="s">
        <v>231</v>
      </c>
      <c r="C547" s="6" t="s">
        <v>298</v>
      </c>
      <c r="D547" s="56">
        <v>41061</v>
      </c>
      <c r="E547" s="268">
        <v>12795.75</v>
      </c>
      <c r="F547" s="54">
        <f t="shared" si="32"/>
        <v>2.6513400221759475E-2</v>
      </c>
      <c r="G547" s="80">
        <f t="shared" si="33"/>
        <v>339.2588408875788</v>
      </c>
    </row>
    <row r="548" spans="1:7" x14ac:dyDescent="0.2">
      <c r="A548" s="154" t="s">
        <v>601</v>
      </c>
      <c r="B548" s="153" t="s">
        <v>231</v>
      </c>
      <c r="C548" s="6" t="s">
        <v>298</v>
      </c>
      <c r="D548" s="56">
        <v>41091</v>
      </c>
      <c r="E548" s="268">
        <v>15003.42</v>
      </c>
      <c r="F548" s="54">
        <f t="shared" si="32"/>
        <v>2.6513400221759475E-2</v>
      </c>
      <c r="G548" s="80">
        <f t="shared" si="33"/>
        <v>397.79167915515052</v>
      </c>
    </row>
    <row r="549" spans="1:7" x14ac:dyDescent="0.2">
      <c r="A549" s="154" t="s">
        <v>601</v>
      </c>
      <c r="B549" s="153" t="s">
        <v>232</v>
      </c>
      <c r="C549" s="6" t="s">
        <v>329</v>
      </c>
      <c r="D549" s="56">
        <v>41061</v>
      </c>
      <c r="E549" s="268">
        <v>704.73</v>
      </c>
      <c r="F549" s="54">
        <f t="shared" ref="F549:F576" si="34">$B$10</f>
        <v>2.6513400221759475E-2</v>
      </c>
      <c r="G549" s="80">
        <f t="shared" ref="G549:G576" si="35">E549*F549</f>
        <v>18.684788538280554</v>
      </c>
    </row>
    <row r="550" spans="1:7" x14ac:dyDescent="0.2">
      <c r="A550" s="154" t="s">
        <v>601</v>
      </c>
      <c r="B550" s="153" t="s">
        <v>232</v>
      </c>
      <c r="C550" s="6" t="s">
        <v>329</v>
      </c>
      <c r="D550" s="56">
        <v>41091</v>
      </c>
      <c r="E550" s="268">
        <v>346.23</v>
      </c>
      <c r="F550" s="54">
        <f t="shared" si="34"/>
        <v>2.6513400221759475E-2</v>
      </c>
      <c r="G550" s="80">
        <f t="shared" si="35"/>
        <v>9.1797345587797832</v>
      </c>
    </row>
    <row r="551" spans="1:7" x14ac:dyDescent="0.2">
      <c r="A551" s="154" t="s">
        <v>601</v>
      </c>
      <c r="B551" s="153" t="s">
        <v>233</v>
      </c>
      <c r="C551" s="6" t="s">
        <v>331</v>
      </c>
      <c r="D551" s="56">
        <v>41061</v>
      </c>
      <c r="E551" s="268">
        <v>24.4</v>
      </c>
      <c r="F551" s="54">
        <f t="shared" si="34"/>
        <v>2.6513400221759475E-2</v>
      </c>
      <c r="G551" s="80">
        <f t="shared" si="35"/>
        <v>0.6469269654109312</v>
      </c>
    </row>
    <row r="552" spans="1:7" x14ac:dyDescent="0.2">
      <c r="A552" s="154" t="s">
        <v>601</v>
      </c>
      <c r="B552" s="153" t="s">
        <v>233</v>
      </c>
      <c r="C552" s="6" t="s">
        <v>331</v>
      </c>
      <c r="D552" s="56">
        <v>41091</v>
      </c>
      <c r="E552" s="268">
        <v>1757.22</v>
      </c>
      <c r="F552" s="54">
        <f t="shared" si="34"/>
        <v>2.6513400221759475E-2</v>
      </c>
      <c r="G552" s="80">
        <f t="shared" si="35"/>
        <v>46.589877137680183</v>
      </c>
    </row>
    <row r="553" spans="1:7" x14ac:dyDescent="0.2">
      <c r="A553" s="154" t="s">
        <v>601</v>
      </c>
      <c r="B553" s="153" t="s">
        <v>234</v>
      </c>
      <c r="C553" s="6" t="s">
        <v>333</v>
      </c>
      <c r="D553" s="56">
        <v>41061</v>
      </c>
      <c r="E553" s="268">
        <v>1679.6399999999999</v>
      </c>
      <c r="F553" s="54">
        <f t="shared" si="34"/>
        <v>2.6513400221759475E-2</v>
      </c>
      <c r="G553" s="80">
        <f t="shared" si="35"/>
        <v>44.53296754847608</v>
      </c>
    </row>
    <row r="554" spans="1:7" x14ac:dyDescent="0.2">
      <c r="A554" s="154" t="s">
        <v>601</v>
      </c>
      <c r="B554" s="153" t="s">
        <v>234</v>
      </c>
      <c r="C554" s="6" t="s">
        <v>333</v>
      </c>
      <c r="D554" s="56">
        <v>41091</v>
      </c>
      <c r="E554" s="268">
        <v>313.01</v>
      </c>
      <c r="F554" s="54">
        <f t="shared" si="34"/>
        <v>2.6513400221759475E-2</v>
      </c>
      <c r="G554" s="80">
        <f t="shared" si="35"/>
        <v>8.2989594034129333</v>
      </c>
    </row>
    <row r="555" spans="1:7" x14ac:dyDescent="0.2">
      <c r="A555" s="154" t="s">
        <v>601</v>
      </c>
      <c r="B555" s="153" t="s">
        <v>235</v>
      </c>
      <c r="C555" s="6" t="s">
        <v>334</v>
      </c>
      <c r="D555" s="56">
        <v>41061</v>
      </c>
      <c r="E555" s="268">
        <v>2459.2600000000002</v>
      </c>
      <c r="F555" s="54">
        <f t="shared" si="34"/>
        <v>2.6513400221759475E-2</v>
      </c>
      <c r="G555" s="80">
        <f t="shared" si="35"/>
        <v>65.20334462936421</v>
      </c>
    </row>
    <row r="556" spans="1:7" x14ac:dyDescent="0.2">
      <c r="A556" s="154" t="s">
        <v>601</v>
      </c>
      <c r="B556" s="153" t="s">
        <v>235</v>
      </c>
      <c r="C556" s="6" t="s">
        <v>334</v>
      </c>
      <c r="D556" s="56">
        <v>41091</v>
      </c>
      <c r="E556" s="268">
        <v>1492.73</v>
      </c>
      <c r="F556" s="54">
        <f t="shared" si="34"/>
        <v>2.6513400221759475E-2</v>
      </c>
      <c r="G556" s="80">
        <f t="shared" si="35"/>
        <v>39.577347913027019</v>
      </c>
    </row>
    <row r="557" spans="1:7" x14ac:dyDescent="0.2">
      <c r="A557" s="154" t="s">
        <v>602</v>
      </c>
      <c r="B557" s="153" t="s">
        <v>230</v>
      </c>
      <c r="C557" s="6" t="s">
        <v>296</v>
      </c>
      <c r="D557" s="56">
        <v>41061</v>
      </c>
      <c r="E557" s="268">
        <v>5977.83</v>
      </c>
      <c r="F557" s="54">
        <f t="shared" si="34"/>
        <v>2.6513400221759475E-2</v>
      </c>
      <c r="G557" s="80">
        <f t="shared" si="35"/>
        <v>158.49259924764044</v>
      </c>
    </row>
    <row r="558" spans="1:7" x14ac:dyDescent="0.2">
      <c r="A558" s="154" t="s">
        <v>602</v>
      </c>
      <c r="B558" s="153" t="s">
        <v>230</v>
      </c>
      <c r="C558" s="6" t="s">
        <v>296</v>
      </c>
      <c r="D558" s="56">
        <v>41091</v>
      </c>
      <c r="E558" s="268">
        <v>5105.24</v>
      </c>
      <c r="F558" s="54">
        <f t="shared" si="34"/>
        <v>2.6513400221759475E-2</v>
      </c>
      <c r="G558" s="80">
        <f t="shared" si="35"/>
        <v>135.35727134813533</v>
      </c>
    </row>
    <row r="559" spans="1:7" x14ac:dyDescent="0.2">
      <c r="A559" s="154" t="s">
        <v>602</v>
      </c>
      <c r="B559" s="153" t="s">
        <v>236</v>
      </c>
      <c r="C559" s="6" t="s">
        <v>300</v>
      </c>
      <c r="D559" s="56">
        <v>41061</v>
      </c>
      <c r="E559" s="268">
        <v>12142.8</v>
      </c>
      <c r="F559" s="54">
        <f t="shared" si="34"/>
        <v>2.6513400221759475E-2</v>
      </c>
      <c r="G559" s="80">
        <f t="shared" si="35"/>
        <v>321.94691621278093</v>
      </c>
    </row>
    <row r="560" spans="1:7" x14ac:dyDescent="0.2">
      <c r="A560" s="154" t="s">
        <v>602</v>
      </c>
      <c r="B560" s="153" t="s">
        <v>236</v>
      </c>
      <c r="C560" s="6" t="s">
        <v>300</v>
      </c>
      <c r="D560" s="56">
        <v>41091</v>
      </c>
      <c r="E560" s="268">
        <v>7307.82</v>
      </c>
      <c r="F560" s="54">
        <f t="shared" si="34"/>
        <v>2.6513400221759475E-2</v>
      </c>
      <c r="G560" s="80">
        <f t="shared" si="35"/>
        <v>193.75515640857833</v>
      </c>
    </row>
    <row r="561" spans="1:7" x14ac:dyDescent="0.2">
      <c r="A561" s="154" t="s">
        <v>602</v>
      </c>
      <c r="B561" s="153" t="s">
        <v>237</v>
      </c>
      <c r="C561" s="6" t="s">
        <v>301</v>
      </c>
      <c r="D561" s="56">
        <v>41061</v>
      </c>
      <c r="E561" s="268">
        <v>11340.26</v>
      </c>
      <c r="F561" s="54">
        <f t="shared" si="34"/>
        <v>2.6513400221759475E-2</v>
      </c>
      <c r="G561" s="80">
        <f t="shared" si="35"/>
        <v>300.66885199881011</v>
      </c>
    </row>
    <row r="562" spans="1:7" x14ac:dyDescent="0.2">
      <c r="A562" s="154" t="s">
        <v>602</v>
      </c>
      <c r="B562" s="153" t="s">
        <v>237</v>
      </c>
      <c r="C562" s="6" t="s">
        <v>301</v>
      </c>
      <c r="D562" s="56">
        <v>41091</v>
      </c>
      <c r="E562" s="268">
        <v>7051.3000000000011</v>
      </c>
      <c r="F562" s="54">
        <f t="shared" si="34"/>
        <v>2.6513400221759475E-2</v>
      </c>
      <c r="G562" s="80">
        <f t="shared" si="35"/>
        <v>186.95393898369261</v>
      </c>
    </row>
    <row r="563" spans="1:7" x14ac:dyDescent="0.2">
      <c r="A563" s="154" t="s">
        <v>602</v>
      </c>
      <c r="B563" s="153" t="s">
        <v>232</v>
      </c>
      <c r="C563" s="6" t="s">
        <v>329</v>
      </c>
      <c r="D563" s="56">
        <v>41061</v>
      </c>
      <c r="E563" s="268">
        <v>2359.33</v>
      </c>
      <c r="F563" s="54">
        <f t="shared" si="34"/>
        <v>2.6513400221759475E-2</v>
      </c>
      <c r="G563" s="80">
        <f t="shared" si="35"/>
        <v>62.553860545203783</v>
      </c>
    </row>
    <row r="564" spans="1:7" x14ac:dyDescent="0.2">
      <c r="A564" s="154" t="s">
        <v>602</v>
      </c>
      <c r="B564" s="153" t="s">
        <v>232</v>
      </c>
      <c r="C564" s="6" t="s">
        <v>329</v>
      </c>
      <c r="D564" s="56">
        <v>41091</v>
      </c>
      <c r="E564" s="268">
        <v>1159.1099999999999</v>
      </c>
      <c r="F564" s="54">
        <f t="shared" si="34"/>
        <v>2.6513400221759475E-2</v>
      </c>
      <c r="G564" s="80">
        <f t="shared" si="35"/>
        <v>30.731947331043621</v>
      </c>
    </row>
    <row r="565" spans="1:7" x14ac:dyDescent="0.2">
      <c r="A565" s="154" t="s">
        <v>602</v>
      </c>
      <c r="B565" s="153" t="s">
        <v>233</v>
      </c>
      <c r="C565" s="6" t="s">
        <v>331</v>
      </c>
      <c r="D565" s="56">
        <v>41061</v>
      </c>
      <c r="E565" s="268">
        <v>1277.3999999999999</v>
      </c>
      <c r="F565" s="54">
        <f t="shared" si="34"/>
        <v>2.6513400221759475E-2</v>
      </c>
      <c r="G565" s="80">
        <f t="shared" si="35"/>
        <v>33.868217443275547</v>
      </c>
    </row>
    <row r="566" spans="1:7" x14ac:dyDescent="0.2">
      <c r="A566" s="154" t="s">
        <v>603</v>
      </c>
      <c r="B566" s="153" t="s">
        <v>238</v>
      </c>
      <c r="C566" s="6" t="s">
        <v>303</v>
      </c>
      <c r="D566" s="56">
        <v>41061</v>
      </c>
      <c r="E566" s="268">
        <v>91.06</v>
      </c>
      <c r="F566" s="54">
        <f t="shared" si="34"/>
        <v>2.6513400221759475E-2</v>
      </c>
      <c r="G566" s="80">
        <f t="shared" si="35"/>
        <v>2.414310224193418</v>
      </c>
    </row>
    <row r="567" spans="1:7" x14ac:dyDescent="0.2">
      <c r="A567" s="154" t="s">
        <v>603</v>
      </c>
      <c r="B567" s="153" t="s">
        <v>239</v>
      </c>
      <c r="C567" s="6" t="s">
        <v>305</v>
      </c>
      <c r="D567" s="56">
        <v>41061</v>
      </c>
      <c r="E567" s="268">
        <v>7.1</v>
      </c>
      <c r="F567" s="54">
        <f t="shared" si="34"/>
        <v>2.6513400221759475E-2</v>
      </c>
      <c r="G567" s="80">
        <f t="shared" si="35"/>
        <v>0.18824514157449226</v>
      </c>
    </row>
    <row r="568" spans="1:7" x14ac:dyDescent="0.2">
      <c r="A568" s="154" t="s">
        <v>603</v>
      </c>
      <c r="B568" s="153" t="s">
        <v>240</v>
      </c>
      <c r="C568" s="6" t="s">
        <v>307</v>
      </c>
      <c r="D568" s="56">
        <v>41061</v>
      </c>
      <c r="E568" s="268">
        <v>-27.62</v>
      </c>
      <c r="F568" s="54">
        <f t="shared" si="34"/>
        <v>2.6513400221759475E-2</v>
      </c>
      <c r="G568" s="80">
        <f t="shared" si="35"/>
        <v>-0.73230011412499674</v>
      </c>
    </row>
    <row r="569" spans="1:7" x14ac:dyDescent="0.2">
      <c r="A569" s="154" t="s">
        <v>603</v>
      </c>
      <c r="B569" s="153" t="s">
        <v>241</v>
      </c>
      <c r="C569" s="6" t="s">
        <v>308</v>
      </c>
      <c r="D569" s="56">
        <v>41061</v>
      </c>
      <c r="E569" s="268">
        <v>2714.37</v>
      </c>
      <c r="F569" s="54">
        <f t="shared" si="34"/>
        <v>2.6513400221759475E-2</v>
      </c>
      <c r="G569" s="80">
        <f t="shared" si="35"/>
        <v>71.967178159937262</v>
      </c>
    </row>
    <row r="570" spans="1:7" x14ac:dyDescent="0.2">
      <c r="A570" s="154" t="s">
        <v>603</v>
      </c>
      <c r="B570" s="153" t="s">
        <v>241</v>
      </c>
      <c r="C570" s="6" t="s">
        <v>308</v>
      </c>
      <c r="D570" s="56">
        <v>41091</v>
      </c>
      <c r="E570" s="268">
        <v>549.22</v>
      </c>
      <c r="F570" s="54">
        <f t="shared" si="34"/>
        <v>2.6513400221759475E-2</v>
      </c>
      <c r="G570" s="80">
        <f t="shared" si="35"/>
        <v>14.56168966979474</v>
      </c>
    </row>
    <row r="571" spans="1:7" x14ac:dyDescent="0.2">
      <c r="A571" s="154" t="s">
        <v>603</v>
      </c>
      <c r="B571" s="153" t="s">
        <v>234</v>
      </c>
      <c r="C571" s="6" t="s">
        <v>333</v>
      </c>
      <c r="D571" s="56">
        <v>41061</v>
      </c>
      <c r="E571" s="268">
        <v>186.62</v>
      </c>
      <c r="F571" s="54">
        <f t="shared" si="34"/>
        <v>2.6513400221759475E-2</v>
      </c>
      <c r="G571" s="80">
        <f t="shared" si="35"/>
        <v>4.9479307493847537</v>
      </c>
    </row>
    <row r="572" spans="1:7" x14ac:dyDescent="0.2">
      <c r="A572" s="154" t="s">
        <v>603</v>
      </c>
      <c r="B572" s="153" t="s">
        <v>234</v>
      </c>
      <c r="C572" s="6" t="s">
        <v>333</v>
      </c>
      <c r="D572" s="56">
        <v>41091</v>
      </c>
      <c r="E572" s="268">
        <v>34.79</v>
      </c>
      <c r="F572" s="54">
        <f t="shared" si="34"/>
        <v>2.6513400221759475E-2</v>
      </c>
      <c r="G572" s="80">
        <f t="shared" si="35"/>
        <v>0.92240119371501206</v>
      </c>
    </row>
    <row r="573" spans="1:7" x14ac:dyDescent="0.2">
      <c r="A573" s="154" t="s">
        <v>603</v>
      </c>
      <c r="B573" s="153" t="s">
        <v>242</v>
      </c>
      <c r="C573" s="6" t="s">
        <v>335</v>
      </c>
      <c r="D573" s="56">
        <v>41061</v>
      </c>
      <c r="E573" s="268">
        <v>13.73</v>
      </c>
      <c r="F573" s="54">
        <f t="shared" si="34"/>
        <v>2.6513400221759475E-2</v>
      </c>
      <c r="G573" s="80">
        <f t="shared" si="35"/>
        <v>0.36402898504475761</v>
      </c>
    </row>
    <row r="574" spans="1:7" x14ac:dyDescent="0.2">
      <c r="A574" s="154" t="s">
        <v>603</v>
      </c>
      <c r="B574" s="153" t="s">
        <v>243</v>
      </c>
      <c r="C574" s="6" t="s">
        <v>337</v>
      </c>
      <c r="D574" s="56">
        <v>41061</v>
      </c>
      <c r="E574" s="268">
        <v>3.13</v>
      </c>
      <c r="F574" s="54">
        <f t="shared" si="34"/>
        <v>2.6513400221759475E-2</v>
      </c>
      <c r="G574" s="80">
        <f t="shared" si="35"/>
        <v>8.2986942694107155E-2</v>
      </c>
    </row>
    <row r="575" spans="1:7" x14ac:dyDescent="0.2">
      <c r="A575" s="154" t="s">
        <v>603</v>
      </c>
      <c r="B575" s="153" t="s">
        <v>244</v>
      </c>
      <c r="C575" s="160" t="s">
        <v>339</v>
      </c>
      <c r="D575" s="217">
        <v>41061</v>
      </c>
      <c r="E575" s="268">
        <v>-45.94</v>
      </c>
      <c r="F575" s="54">
        <f t="shared" si="34"/>
        <v>2.6513400221759475E-2</v>
      </c>
      <c r="G575" s="80">
        <f t="shared" si="35"/>
        <v>-1.2180256061876302</v>
      </c>
    </row>
    <row r="576" spans="1:7" x14ac:dyDescent="0.2">
      <c r="A576" s="154" t="s">
        <v>603</v>
      </c>
      <c r="B576" s="155" t="s">
        <v>244</v>
      </c>
      <c r="C576" s="6" t="s">
        <v>339</v>
      </c>
      <c r="D576" s="56">
        <v>41091</v>
      </c>
      <c r="E576" s="167">
        <v>-11.52</v>
      </c>
      <c r="F576" s="54">
        <f t="shared" si="34"/>
        <v>2.6513400221759475E-2</v>
      </c>
      <c r="G576" s="80">
        <f t="shared" si="35"/>
        <v>-0.30543437055466915</v>
      </c>
    </row>
    <row r="577" spans="1:7" x14ac:dyDescent="0.2">
      <c r="A577" s="79"/>
      <c r="B577" s="79"/>
      <c r="C577" s="79"/>
      <c r="D577" s="82"/>
      <c r="E577" s="83"/>
    </row>
    <row r="578" spans="1:7" ht="13.5" thickBot="1" x14ac:dyDescent="0.25">
      <c r="A578" s="79"/>
      <c r="B578" s="79"/>
      <c r="C578" s="12" t="s">
        <v>27</v>
      </c>
      <c r="D578" s="82"/>
      <c r="E578" s="265">
        <f>SUM(E484:E576)</f>
        <v>598074.60999999964</v>
      </c>
      <c r="G578" s="84">
        <f>SUM(G484:G576)</f>
        <v>15856.991497402709</v>
      </c>
    </row>
    <row r="579" spans="1:7" ht="13.5" thickTop="1" x14ac:dyDescent="0.2">
      <c r="A579" s="79"/>
      <c r="B579" s="79"/>
      <c r="C579" s="79"/>
      <c r="D579" s="82"/>
      <c r="E579" s="83"/>
    </row>
    <row r="580" spans="1:7" x14ac:dyDescent="0.2">
      <c r="A580" s="79"/>
      <c r="B580" s="79"/>
      <c r="C580" s="79"/>
      <c r="D580" s="82"/>
      <c r="E580" s="83"/>
    </row>
    <row r="581" spans="1:7" x14ac:dyDescent="0.2">
      <c r="A581" s="2" t="s">
        <v>38</v>
      </c>
      <c r="B581" s="79"/>
      <c r="C581" s="79"/>
      <c r="D581" s="82"/>
      <c r="E581" s="83"/>
    </row>
    <row r="582" spans="1:7" x14ac:dyDescent="0.2">
      <c r="A582" s="79"/>
      <c r="B582" s="79"/>
      <c r="C582" s="79"/>
      <c r="D582" s="82"/>
      <c r="E582" s="83"/>
    </row>
    <row r="583" spans="1:7" x14ac:dyDescent="0.2">
      <c r="A583" s="154">
        <v>38100</v>
      </c>
      <c r="B583" s="55" t="s">
        <v>535</v>
      </c>
      <c r="C583" s="6" t="s">
        <v>381</v>
      </c>
      <c r="D583" s="56">
        <v>41297</v>
      </c>
      <c r="E583" s="268">
        <v>3622.6200000000003</v>
      </c>
      <c r="F583" s="86">
        <f>$B$8</f>
        <v>5.8577645403926841E-2</v>
      </c>
      <c r="G583" s="87">
        <f t="shared" ref="G583" si="36">E583*F583</f>
        <v>212.20454979317347</v>
      </c>
    </row>
    <row r="584" spans="1:7" x14ac:dyDescent="0.2">
      <c r="A584" s="154">
        <v>38100</v>
      </c>
      <c r="B584" s="155" t="s">
        <v>536</v>
      </c>
      <c r="C584" s="6" t="s">
        <v>381</v>
      </c>
      <c r="D584" s="56">
        <v>41379</v>
      </c>
      <c r="E584" s="268">
        <v>879.95999999999992</v>
      </c>
      <c r="F584" s="86">
        <f>$B$8</f>
        <v>5.8577645403926841E-2</v>
      </c>
      <c r="G584" s="87">
        <f t="shared" ref="G584:G586" si="37">E584*F584</f>
        <v>51.54598484963946</v>
      </c>
    </row>
    <row r="585" spans="1:7" x14ac:dyDescent="0.2">
      <c r="A585" s="154">
        <v>38100</v>
      </c>
      <c r="B585" s="158" t="s">
        <v>537</v>
      </c>
      <c r="C585" s="6" t="s">
        <v>381</v>
      </c>
      <c r="D585" s="56">
        <v>41428</v>
      </c>
      <c r="E585" s="268">
        <v>203</v>
      </c>
      <c r="F585" s="86">
        <f>$B$8</f>
        <v>5.8577645403926841E-2</v>
      </c>
      <c r="G585" s="87">
        <f t="shared" si="37"/>
        <v>11.891262016997148</v>
      </c>
    </row>
    <row r="586" spans="1:7" x14ac:dyDescent="0.2">
      <c r="A586" s="154">
        <v>38100</v>
      </c>
      <c r="B586" s="155" t="s">
        <v>538</v>
      </c>
      <c r="C586" s="6" t="s">
        <v>381</v>
      </c>
      <c r="D586" s="56">
        <v>41297</v>
      </c>
      <c r="E586" s="268">
        <v>2553.1599999999994</v>
      </c>
      <c r="F586" s="86">
        <f>$B$8</f>
        <v>5.8577645403926841E-2</v>
      </c>
      <c r="G586" s="87">
        <f t="shared" si="37"/>
        <v>149.55810113948982</v>
      </c>
    </row>
    <row r="587" spans="1:7" x14ac:dyDescent="0.2">
      <c r="A587" s="154">
        <v>38100</v>
      </c>
      <c r="B587" s="158" t="s">
        <v>539</v>
      </c>
      <c r="C587" s="6" t="s">
        <v>381</v>
      </c>
      <c r="D587" s="56">
        <v>41379</v>
      </c>
      <c r="E587" s="268">
        <v>7720.71</v>
      </c>
      <c r="F587" s="86">
        <f t="shared" ref="F587:F650" si="38">$B$8</f>
        <v>5.8577645403926841E-2</v>
      </c>
      <c r="G587" s="87">
        <f t="shared" ref="G587:G650" si="39">E587*F587</f>
        <v>452.26101264655199</v>
      </c>
    </row>
    <row r="588" spans="1:7" x14ac:dyDescent="0.2">
      <c r="A588" s="154">
        <v>38100</v>
      </c>
      <c r="B588" s="158" t="s">
        <v>540</v>
      </c>
      <c r="C588" s="6" t="s">
        <v>381</v>
      </c>
      <c r="D588" s="56">
        <v>41430</v>
      </c>
      <c r="E588" s="268">
        <v>230.32</v>
      </c>
      <c r="F588" s="86">
        <f t="shared" si="38"/>
        <v>5.8577645403926841E-2</v>
      </c>
      <c r="G588" s="87">
        <f t="shared" si="39"/>
        <v>13.49160328943243</v>
      </c>
    </row>
    <row r="589" spans="1:7" x14ac:dyDescent="0.2">
      <c r="A589" s="154">
        <v>38100</v>
      </c>
      <c r="B589" s="158" t="s">
        <v>541</v>
      </c>
      <c r="C589" s="6" t="s">
        <v>381</v>
      </c>
      <c r="D589" s="56">
        <v>41297</v>
      </c>
      <c r="E589" s="268">
        <v>1403.3300000000006</v>
      </c>
      <c r="F589" s="86">
        <f t="shared" si="38"/>
        <v>5.8577645403926841E-2</v>
      </c>
      <c r="G589" s="87">
        <f t="shared" si="39"/>
        <v>82.203767124692689</v>
      </c>
    </row>
    <row r="590" spans="1:7" x14ac:dyDescent="0.2">
      <c r="A590" s="154">
        <v>38100</v>
      </c>
      <c r="B590" s="158" t="s">
        <v>542</v>
      </c>
      <c r="C590" s="6" t="s">
        <v>381</v>
      </c>
      <c r="D590" s="56">
        <v>41379</v>
      </c>
      <c r="E590" s="268">
        <v>3042.2099999999996</v>
      </c>
      <c r="F590" s="86">
        <f t="shared" si="38"/>
        <v>5.8577645403926841E-2</v>
      </c>
      <c r="G590" s="87">
        <f t="shared" si="39"/>
        <v>178.20549862428024</v>
      </c>
    </row>
    <row r="591" spans="1:7" x14ac:dyDescent="0.2">
      <c r="A591" s="154">
        <v>38100</v>
      </c>
      <c r="B591" s="158" t="s">
        <v>543</v>
      </c>
      <c r="C591" s="6" t="s">
        <v>381</v>
      </c>
      <c r="D591" s="56">
        <v>41452</v>
      </c>
      <c r="E591" s="268">
        <v>573.58999999999992</v>
      </c>
      <c r="F591" s="86">
        <f t="shared" si="38"/>
        <v>5.8577645403926841E-2</v>
      </c>
      <c r="G591" s="87">
        <f t="shared" si="39"/>
        <v>33.599551627238391</v>
      </c>
    </row>
    <row r="592" spans="1:7" x14ac:dyDescent="0.2">
      <c r="A592" s="154">
        <v>38200</v>
      </c>
      <c r="B592" s="158" t="s">
        <v>544</v>
      </c>
      <c r="C592" s="6" t="s">
        <v>395</v>
      </c>
      <c r="D592" s="56">
        <v>41297</v>
      </c>
      <c r="E592" s="268">
        <v>24860.47000000003</v>
      </c>
      <c r="F592" s="86">
        <f t="shared" si="38"/>
        <v>5.8577645403926841E-2</v>
      </c>
      <c r="G592" s="87">
        <f t="shared" si="39"/>
        <v>1456.2677962349628</v>
      </c>
    </row>
    <row r="593" spans="1:7" x14ac:dyDescent="0.2">
      <c r="A593" s="154">
        <v>38200</v>
      </c>
      <c r="B593" s="158" t="s">
        <v>545</v>
      </c>
      <c r="C593" s="6" t="s">
        <v>396</v>
      </c>
      <c r="D593" s="56">
        <v>41297</v>
      </c>
      <c r="E593" s="268">
        <v>3669.0800000000004</v>
      </c>
      <c r="F593" s="86">
        <f t="shared" si="38"/>
        <v>5.8577645403926841E-2</v>
      </c>
      <c r="G593" s="87">
        <f t="shared" si="39"/>
        <v>214.92606719863991</v>
      </c>
    </row>
    <row r="594" spans="1:7" x14ac:dyDescent="0.2">
      <c r="A594" s="154">
        <v>38200</v>
      </c>
      <c r="B594" s="158" t="s">
        <v>546</v>
      </c>
      <c r="C594" s="6" t="s">
        <v>396</v>
      </c>
      <c r="D594" s="56">
        <v>41379</v>
      </c>
      <c r="E594" s="268">
        <v>5080.97</v>
      </c>
      <c r="F594" s="86">
        <f t="shared" si="38"/>
        <v>5.8577645403926841E-2</v>
      </c>
      <c r="G594" s="87">
        <f t="shared" si="39"/>
        <v>297.63125896799016</v>
      </c>
    </row>
    <row r="595" spans="1:7" x14ac:dyDescent="0.2">
      <c r="A595" s="154">
        <v>38200</v>
      </c>
      <c r="B595" s="158" t="s">
        <v>547</v>
      </c>
      <c r="C595" s="6" t="s">
        <v>396</v>
      </c>
      <c r="D595" s="56">
        <v>41428</v>
      </c>
      <c r="E595" s="268">
        <v>8806.1299999999992</v>
      </c>
      <c r="F595" s="86">
        <f t="shared" si="38"/>
        <v>5.8577645403926841E-2</v>
      </c>
      <c r="G595" s="87">
        <f t="shared" si="39"/>
        <v>515.84236052088227</v>
      </c>
    </row>
    <row r="596" spans="1:7" x14ac:dyDescent="0.2">
      <c r="A596" s="154">
        <v>38200</v>
      </c>
      <c r="B596" s="158" t="s">
        <v>548</v>
      </c>
      <c r="C596" s="6" t="s">
        <v>396</v>
      </c>
      <c r="D596" s="56">
        <v>41297</v>
      </c>
      <c r="E596" s="268">
        <v>10464.480000000005</v>
      </c>
      <c r="F596" s="86">
        <f t="shared" si="38"/>
        <v>5.8577645403926841E-2</v>
      </c>
      <c r="G596" s="87">
        <f t="shared" si="39"/>
        <v>612.98459877648463</v>
      </c>
    </row>
    <row r="597" spans="1:7" x14ac:dyDescent="0.2">
      <c r="A597" s="154">
        <v>38200</v>
      </c>
      <c r="B597" s="158" t="s">
        <v>549</v>
      </c>
      <c r="C597" s="6" t="s">
        <v>396</v>
      </c>
      <c r="D597" s="56">
        <v>41379</v>
      </c>
      <c r="E597" s="268">
        <v>5050.6900000000014</v>
      </c>
      <c r="F597" s="86">
        <f t="shared" si="38"/>
        <v>5.8577645403926841E-2</v>
      </c>
      <c r="G597" s="87">
        <f t="shared" si="39"/>
        <v>295.85752786515934</v>
      </c>
    </row>
    <row r="598" spans="1:7" x14ac:dyDescent="0.2">
      <c r="A598" s="154">
        <v>38200</v>
      </c>
      <c r="B598" s="158" t="s">
        <v>550</v>
      </c>
      <c r="C598" s="6" t="s">
        <v>396</v>
      </c>
      <c r="D598" s="56">
        <v>41429</v>
      </c>
      <c r="E598" s="268">
        <v>2893.43</v>
      </c>
      <c r="F598" s="86">
        <f t="shared" si="38"/>
        <v>5.8577645403926841E-2</v>
      </c>
      <c r="G598" s="87">
        <f t="shared" si="39"/>
        <v>169.49031654108404</v>
      </c>
    </row>
    <row r="599" spans="1:7" x14ac:dyDescent="0.2">
      <c r="A599" s="154">
        <v>38200</v>
      </c>
      <c r="B599" s="158" t="s">
        <v>551</v>
      </c>
      <c r="C599" s="6" t="s">
        <v>396</v>
      </c>
      <c r="D599" s="56">
        <v>41297</v>
      </c>
      <c r="E599" s="268">
        <v>1109.4399999999994</v>
      </c>
      <c r="F599" s="86">
        <f t="shared" si="38"/>
        <v>5.8577645403926841E-2</v>
      </c>
      <c r="G599" s="87">
        <f t="shared" si="39"/>
        <v>64.988382916932551</v>
      </c>
    </row>
    <row r="600" spans="1:7" x14ac:dyDescent="0.2">
      <c r="A600" s="154">
        <v>38200</v>
      </c>
      <c r="B600" s="158" t="s">
        <v>552</v>
      </c>
      <c r="C600" s="6" t="s">
        <v>396</v>
      </c>
      <c r="D600" s="56">
        <v>41379</v>
      </c>
      <c r="E600" s="268">
        <v>4553.4900000000061</v>
      </c>
      <c r="F600" s="86">
        <f t="shared" si="38"/>
        <v>5.8577645403926841E-2</v>
      </c>
      <c r="G600" s="87">
        <f t="shared" si="39"/>
        <v>266.73272257032721</v>
      </c>
    </row>
    <row r="601" spans="1:7" x14ac:dyDescent="0.2">
      <c r="A601" s="154">
        <v>38200</v>
      </c>
      <c r="B601" s="158" t="s">
        <v>553</v>
      </c>
      <c r="C601" s="6" t="s">
        <v>396</v>
      </c>
      <c r="D601" s="56">
        <v>41451</v>
      </c>
      <c r="E601" s="268">
        <v>3451.2400000000007</v>
      </c>
      <c r="F601" s="86">
        <f t="shared" si="38"/>
        <v>5.8577645403926841E-2</v>
      </c>
      <c r="G601" s="87">
        <f t="shared" si="39"/>
        <v>202.16551292384852</v>
      </c>
    </row>
    <row r="602" spans="1:7" x14ac:dyDescent="0.2">
      <c r="A602" s="154" t="s">
        <v>601</v>
      </c>
      <c r="B602" s="158" t="s">
        <v>213</v>
      </c>
      <c r="C602" s="6" t="s">
        <v>285</v>
      </c>
      <c r="D602" s="56">
        <v>41061</v>
      </c>
      <c r="E602" s="268">
        <v>-11.55</v>
      </c>
      <c r="F602" s="86">
        <f t="shared" si="38"/>
        <v>5.8577645403926841E-2</v>
      </c>
      <c r="G602" s="87">
        <f t="shared" si="39"/>
        <v>-0.67657180441535503</v>
      </c>
    </row>
    <row r="603" spans="1:7" x14ac:dyDescent="0.2">
      <c r="A603" s="154" t="s">
        <v>601</v>
      </c>
      <c r="B603" s="158" t="s">
        <v>213</v>
      </c>
      <c r="C603" s="6" t="s">
        <v>285</v>
      </c>
      <c r="D603" s="56">
        <v>41091</v>
      </c>
      <c r="E603" s="268">
        <v>45.95</v>
      </c>
      <c r="F603" s="86">
        <f t="shared" si="38"/>
        <v>5.8577645403926841E-2</v>
      </c>
      <c r="G603" s="87">
        <f t="shared" si="39"/>
        <v>2.6916428063104387</v>
      </c>
    </row>
    <row r="604" spans="1:7" x14ac:dyDescent="0.2">
      <c r="A604" s="154" t="s">
        <v>601</v>
      </c>
      <c r="B604" s="158" t="s">
        <v>245</v>
      </c>
      <c r="C604" s="6" t="s">
        <v>295</v>
      </c>
      <c r="D604" s="56">
        <v>41061</v>
      </c>
      <c r="E604" s="268">
        <v>-190.23</v>
      </c>
      <c r="F604" s="86">
        <f t="shared" si="38"/>
        <v>5.8577645403926841E-2</v>
      </c>
      <c r="G604" s="87">
        <f t="shared" si="39"/>
        <v>-11.143225485189003</v>
      </c>
    </row>
    <row r="605" spans="1:7" x14ac:dyDescent="0.2">
      <c r="A605" s="154" t="s">
        <v>601</v>
      </c>
      <c r="B605" s="158" t="s">
        <v>245</v>
      </c>
      <c r="C605" s="6" t="s">
        <v>295</v>
      </c>
      <c r="D605" s="56">
        <v>41091</v>
      </c>
      <c r="E605" s="268">
        <v>1600.28</v>
      </c>
      <c r="F605" s="86">
        <f t="shared" si="38"/>
        <v>5.8577645403926841E-2</v>
      </c>
      <c r="G605" s="87">
        <f t="shared" si="39"/>
        <v>93.740634386996049</v>
      </c>
    </row>
    <row r="606" spans="1:7" x14ac:dyDescent="0.2">
      <c r="A606" s="154" t="s">
        <v>601</v>
      </c>
      <c r="B606" s="158" t="s">
        <v>246</v>
      </c>
      <c r="C606" s="6" t="s">
        <v>299</v>
      </c>
      <c r="D606" s="56">
        <v>41061</v>
      </c>
      <c r="E606" s="268">
        <v>609.77</v>
      </c>
      <c r="F606" s="86">
        <f t="shared" si="38"/>
        <v>5.8577645403926841E-2</v>
      </c>
      <c r="G606" s="87">
        <f t="shared" si="39"/>
        <v>35.718890837952472</v>
      </c>
    </row>
    <row r="607" spans="1:7" x14ac:dyDescent="0.2">
      <c r="A607" s="154" t="s">
        <v>601</v>
      </c>
      <c r="B607" s="158" t="s">
        <v>246</v>
      </c>
      <c r="C607" s="6" t="s">
        <v>299</v>
      </c>
      <c r="D607" s="56">
        <v>41091</v>
      </c>
      <c r="E607" s="268">
        <v>1914.77</v>
      </c>
      <c r="F607" s="86">
        <f t="shared" si="38"/>
        <v>5.8577645403926841E-2</v>
      </c>
      <c r="G607" s="87">
        <f t="shared" si="39"/>
        <v>112.16271809007699</v>
      </c>
    </row>
    <row r="608" spans="1:7" x14ac:dyDescent="0.2">
      <c r="A608" s="154" t="s">
        <v>601</v>
      </c>
      <c r="B608" s="158" t="s">
        <v>247</v>
      </c>
      <c r="C608" s="6" t="s">
        <v>328</v>
      </c>
      <c r="D608" s="56">
        <v>41061</v>
      </c>
      <c r="E608" s="268">
        <v>-791.24</v>
      </c>
      <c r="F608" s="86">
        <f t="shared" si="38"/>
        <v>5.8577645403926841E-2</v>
      </c>
      <c r="G608" s="87">
        <f t="shared" si="39"/>
        <v>-46.348976149403072</v>
      </c>
    </row>
    <row r="609" spans="1:7" x14ac:dyDescent="0.2">
      <c r="A609" s="154" t="s">
        <v>601</v>
      </c>
      <c r="B609" s="158" t="s">
        <v>247</v>
      </c>
      <c r="C609" s="6" t="s">
        <v>328</v>
      </c>
      <c r="D609" s="56">
        <v>41091</v>
      </c>
      <c r="E609" s="268">
        <v>25.01</v>
      </c>
      <c r="F609" s="86">
        <f t="shared" si="38"/>
        <v>5.8577645403926841E-2</v>
      </c>
      <c r="G609" s="87">
        <f t="shared" si="39"/>
        <v>1.4650269115522103</v>
      </c>
    </row>
    <row r="610" spans="1:7" x14ac:dyDescent="0.2">
      <c r="A610" s="154" t="s">
        <v>601</v>
      </c>
      <c r="B610" s="158" t="s">
        <v>248</v>
      </c>
      <c r="C610" s="6" t="s">
        <v>330</v>
      </c>
      <c r="D610" s="56">
        <v>41061</v>
      </c>
      <c r="E610" s="268">
        <v>1282.75</v>
      </c>
      <c r="F610" s="86">
        <f t="shared" si="38"/>
        <v>5.8577645403926841E-2</v>
      </c>
      <c r="G610" s="87">
        <f t="shared" si="39"/>
        <v>75.140474641887153</v>
      </c>
    </row>
    <row r="611" spans="1:7" x14ac:dyDescent="0.2">
      <c r="A611" s="154" t="s">
        <v>601</v>
      </c>
      <c r="B611" s="158" t="s">
        <v>248</v>
      </c>
      <c r="C611" s="6" t="s">
        <v>330</v>
      </c>
      <c r="D611" s="56">
        <v>41091</v>
      </c>
      <c r="E611" s="268">
        <v>1059.32</v>
      </c>
      <c r="F611" s="86">
        <f t="shared" si="38"/>
        <v>5.8577645403926841E-2</v>
      </c>
      <c r="G611" s="87">
        <f t="shared" si="39"/>
        <v>62.052471329287776</v>
      </c>
    </row>
    <row r="612" spans="1:7" x14ac:dyDescent="0.2">
      <c r="A612" s="154" t="s">
        <v>602</v>
      </c>
      <c r="B612" s="158" t="s">
        <v>245</v>
      </c>
      <c r="C612" s="6" t="s">
        <v>295</v>
      </c>
      <c r="D612" s="56">
        <v>41091</v>
      </c>
      <c r="E612" s="268">
        <v>1575.21</v>
      </c>
      <c r="F612" s="86">
        <f t="shared" si="38"/>
        <v>5.8577645403926841E-2</v>
      </c>
      <c r="G612" s="87">
        <f t="shared" si="39"/>
        <v>92.272092816719606</v>
      </c>
    </row>
    <row r="613" spans="1:7" x14ac:dyDescent="0.2">
      <c r="A613" s="154" t="s">
        <v>602</v>
      </c>
      <c r="B613" s="158" t="s">
        <v>249</v>
      </c>
      <c r="C613" s="6" t="s">
        <v>297</v>
      </c>
      <c r="D613" s="56">
        <v>41061</v>
      </c>
      <c r="E613" s="268">
        <v>5276.87</v>
      </c>
      <c r="F613" s="86">
        <f t="shared" si="38"/>
        <v>5.8577645403926841E-2</v>
      </c>
      <c r="G613" s="87">
        <f t="shared" si="39"/>
        <v>309.10661970261941</v>
      </c>
    </row>
    <row r="614" spans="1:7" x14ac:dyDescent="0.2">
      <c r="A614" s="154" t="s">
        <v>602</v>
      </c>
      <c r="B614" s="158" t="s">
        <v>249</v>
      </c>
      <c r="C614" s="6" t="s">
        <v>297</v>
      </c>
      <c r="D614" s="56">
        <v>41091</v>
      </c>
      <c r="E614" s="268">
        <v>2690.54</v>
      </c>
      <c r="F614" s="86">
        <f t="shared" si="38"/>
        <v>5.8577645403926841E-2</v>
      </c>
      <c r="G614" s="87">
        <f t="shared" si="39"/>
        <v>157.60549806508132</v>
      </c>
    </row>
    <row r="615" spans="1:7" x14ac:dyDescent="0.2">
      <c r="A615" s="154" t="s">
        <v>602</v>
      </c>
      <c r="B615" s="158" t="s">
        <v>246</v>
      </c>
      <c r="C615" s="6" t="s">
        <v>299</v>
      </c>
      <c r="D615" s="56">
        <v>41061</v>
      </c>
      <c r="E615" s="268">
        <v>3654.47</v>
      </c>
      <c r="F615" s="86">
        <f t="shared" si="38"/>
        <v>5.8577645403926841E-2</v>
      </c>
      <c r="G615" s="87">
        <f t="shared" si="39"/>
        <v>214.07024779928852</v>
      </c>
    </row>
    <row r="616" spans="1:7" x14ac:dyDescent="0.2">
      <c r="A616" s="154" t="s">
        <v>602</v>
      </c>
      <c r="B616" s="158" t="s">
        <v>246</v>
      </c>
      <c r="C616" s="6" t="s">
        <v>299</v>
      </c>
      <c r="D616" s="56">
        <v>41091</v>
      </c>
      <c r="E616" s="268">
        <v>9593.4500000000007</v>
      </c>
      <c r="F616" s="86">
        <f t="shared" si="38"/>
        <v>5.8577645403926841E-2</v>
      </c>
      <c r="G616" s="87">
        <f t="shared" si="39"/>
        <v>561.961712300302</v>
      </c>
    </row>
    <row r="617" spans="1:7" x14ac:dyDescent="0.2">
      <c r="A617" s="154" t="s">
        <v>602</v>
      </c>
      <c r="B617" s="158" t="s">
        <v>247</v>
      </c>
      <c r="C617" s="6" t="s">
        <v>328</v>
      </c>
      <c r="D617" s="56">
        <v>41061</v>
      </c>
      <c r="E617" s="268">
        <v>-2649.09</v>
      </c>
      <c r="F617" s="86">
        <f t="shared" si="38"/>
        <v>5.8577645403926841E-2</v>
      </c>
      <c r="G617" s="87">
        <f t="shared" si="39"/>
        <v>-155.17745466308855</v>
      </c>
    </row>
    <row r="618" spans="1:7" x14ac:dyDescent="0.2">
      <c r="A618" s="154" t="s">
        <v>602</v>
      </c>
      <c r="B618" s="158" t="s">
        <v>247</v>
      </c>
      <c r="C618" s="6" t="s">
        <v>328</v>
      </c>
      <c r="D618" s="56">
        <v>41091</v>
      </c>
      <c r="E618" s="268">
        <v>83.72</v>
      </c>
      <c r="F618" s="86">
        <f t="shared" si="38"/>
        <v>5.8577645403926841E-2</v>
      </c>
      <c r="G618" s="87">
        <f t="shared" si="39"/>
        <v>4.9041204732167554</v>
      </c>
    </row>
    <row r="619" spans="1:7" x14ac:dyDescent="0.2">
      <c r="A619" s="154" t="s">
        <v>602</v>
      </c>
      <c r="B619" s="158" t="s">
        <v>248</v>
      </c>
      <c r="C619" s="6" t="s">
        <v>330</v>
      </c>
      <c r="D619" s="56">
        <v>41061</v>
      </c>
      <c r="E619" s="268">
        <v>4291.05</v>
      </c>
      <c r="F619" s="86">
        <f t="shared" si="38"/>
        <v>5.8577645403926841E-2</v>
      </c>
      <c r="G619" s="87">
        <f t="shared" si="39"/>
        <v>251.35960531052029</v>
      </c>
    </row>
    <row r="620" spans="1:7" x14ac:dyDescent="0.2">
      <c r="A620" s="154" t="s">
        <v>602</v>
      </c>
      <c r="B620" s="158" t="s">
        <v>248</v>
      </c>
      <c r="C620" s="6" t="s">
        <v>330</v>
      </c>
      <c r="D620" s="56">
        <v>41091</v>
      </c>
      <c r="E620" s="268">
        <v>3543.7</v>
      </c>
      <c r="F620" s="86">
        <f t="shared" si="38"/>
        <v>5.8577645403926841E-2</v>
      </c>
      <c r="G620" s="87">
        <f t="shared" si="39"/>
        <v>207.58160201789553</v>
      </c>
    </row>
    <row r="621" spans="1:7" x14ac:dyDescent="0.2">
      <c r="A621" s="154" t="s">
        <v>602</v>
      </c>
      <c r="B621" s="158" t="s">
        <v>250</v>
      </c>
      <c r="C621" s="6" t="s">
        <v>332</v>
      </c>
      <c r="D621" s="56">
        <v>41061</v>
      </c>
      <c r="E621" s="268">
        <v>1289.45</v>
      </c>
      <c r="F621" s="86">
        <f t="shared" si="38"/>
        <v>5.8577645403926841E-2</v>
      </c>
      <c r="G621" s="87">
        <f t="shared" si="39"/>
        <v>75.532944866093473</v>
      </c>
    </row>
    <row r="622" spans="1:7" x14ac:dyDescent="0.2">
      <c r="A622" s="154" t="s">
        <v>602</v>
      </c>
      <c r="B622" s="158" t="s">
        <v>250</v>
      </c>
      <c r="C622" s="6" t="s">
        <v>332</v>
      </c>
      <c r="D622" s="56">
        <v>41091</v>
      </c>
      <c r="E622" s="268">
        <v>1600.76</v>
      </c>
      <c r="F622" s="86">
        <f t="shared" si="38"/>
        <v>5.8577645403926841E-2</v>
      </c>
      <c r="G622" s="87">
        <f t="shared" si="39"/>
        <v>93.768751656789931</v>
      </c>
    </row>
    <row r="623" spans="1:7" x14ac:dyDescent="0.2">
      <c r="A623" s="154" t="s">
        <v>603</v>
      </c>
      <c r="B623" s="158" t="s">
        <v>251</v>
      </c>
      <c r="C623" s="6" t="s">
        <v>302</v>
      </c>
      <c r="D623" s="56">
        <v>41061</v>
      </c>
      <c r="E623" s="268">
        <v>4435.18</v>
      </c>
      <c r="F623" s="86">
        <f t="shared" si="38"/>
        <v>5.8577645403926841E-2</v>
      </c>
      <c r="G623" s="87">
        <f t="shared" si="39"/>
        <v>259.80240134258827</v>
      </c>
    </row>
    <row r="624" spans="1:7" x14ac:dyDescent="0.2">
      <c r="A624" s="154" t="s">
        <v>603</v>
      </c>
      <c r="B624" s="158" t="s">
        <v>252</v>
      </c>
      <c r="C624" s="6" t="s">
        <v>304</v>
      </c>
      <c r="D624" s="56">
        <v>41061</v>
      </c>
      <c r="E624" s="268">
        <v>1627.38</v>
      </c>
      <c r="F624" s="86">
        <f t="shared" si="38"/>
        <v>5.8577645403926841E-2</v>
      </c>
      <c r="G624" s="87">
        <f t="shared" si="39"/>
        <v>95.328088577442472</v>
      </c>
    </row>
    <row r="625" spans="1:7" x14ac:dyDescent="0.2">
      <c r="A625" s="154" t="s">
        <v>603</v>
      </c>
      <c r="B625" s="158" t="s">
        <v>252</v>
      </c>
      <c r="C625" s="6" t="s">
        <v>304</v>
      </c>
      <c r="D625" s="56">
        <v>41091</v>
      </c>
      <c r="E625" s="268">
        <v>85.42</v>
      </c>
      <c r="F625" s="86">
        <f t="shared" si="38"/>
        <v>5.8577645403926841E-2</v>
      </c>
      <c r="G625" s="87">
        <f t="shared" si="39"/>
        <v>5.0037024704034305</v>
      </c>
    </row>
    <row r="626" spans="1:7" x14ac:dyDescent="0.2">
      <c r="A626" s="154" t="s">
        <v>603</v>
      </c>
      <c r="B626" s="158" t="s">
        <v>253</v>
      </c>
      <c r="C626" s="6" t="s">
        <v>306</v>
      </c>
      <c r="D626" s="56">
        <v>41061</v>
      </c>
      <c r="E626" s="268">
        <v>109.15</v>
      </c>
      <c r="F626" s="86">
        <f t="shared" si="38"/>
        <v>5.8577645403926841E-2</v>
      </c>
      <c r="G626" s="87">
        <f t="shared" si="39"/>
        <v>6.3937499958386148</v>
      </c>
    </row>
    <row r="627" spans="1:7" x14ac:dyDescent="0.2">
      <c r="A627" s="154" t="s">
        <v>603</v>
      </c>
      <c r="B627" s="158" t="s">
        <v>253</v>
      </c>
      <c r="C627" s="6" t="s">
        <v>306</v>
      </c>
      <c r="D627" s="56">
        <v>41091</v>
      </c>
      <c r="E627" s="268">
        <v>12323.04</v>
      </c>
      <c r="F627" s="86">
        <f t="shared" si="38"/>
        <v>5.8577645403926841E-2</v>
      </c>
      <c r="G627" s="87">
        <f t="shared" si="39"/>
        <v>721.85466741840662</v>
      </c>
    </row>
    <row r="628" spans="1:7" x14ac:dyDescent="0.2">
      <c r="A628" s="154" t="s">
        <v>603</v>
      </c>
      <c r="B628" s="158" t="s">
        <v>254</v>
      </c>
      <c r="C628" s="6" t="s">
        <v>336</v>
      </c>
      <c r="D628" s="56">
        <v>41061</v>
      </c>
      <c r="E628" s="268">
        <v>1.26</v>
      </c>
      <c r="F628" s="86">
        <f t="shared" si="38"/>
        <v>5.8577645403926841E-2</v>
      </c>
      <c r="G628" s="87">
        <f t="shared" si="39"/>
        <v>7.3807833208947821E-2</v>
      </c>
    </row>
    <row r="629" spans="1:7" x14ac:dyDescent="0.2">
      <c r="A629" s="154" t="s">
        <v>603</v>
      </c>
      <c r="B629" s="158" t="s">
        <v>255</v>
      </c>
      <c r="C629" s="6" t="s">
        <v>338</v>
      </c>
      <c r="D629" s="56">
        <v>41061</v>
      </c>
      <c r="E629" s="268">
        <v>196.28</v>
      </c>
      <c r="F629" s="86">
        <f t="shared" si="38"/>
        <v>5.8577645403926841E-2</v>
      </c>
      <c r="G629" s="87">
        <f t="shared" si="39"/>
        <v>11.49762023988276</v>
      </c>
    </row>
    <row r="630" spans="1:7" x14ac:dyDescent="0.2">
      <c r="A630" s="154" t="s">
        <v>601</v>
      </c>
      <c r="B630" s="158" t="s">
        <v>213</v>
      </c>
      <c r="C630" s="6" t="s">
        <v>285</v>
      </c>
      <c r="D630" s="56">
        <v>41122</v>
      </c>
      <c r="E630" s="268">
        <v>21.87</v>
      </c>
      <c r="F630" s="86">
        <f t="shared" si="38"/>
        <v>5.8577645403926841E-2</v>
      </c>
      <c r="G630" s="87">
        <f t="shared" si="39"/>
        <v>1.2810931049838801</v>
      </c>
    </row>
    <row r="631" spans="1:7" x14ac:dyDescent="0.2">
      <c r="A631" s="154" t="s">
        <v>601</v>
      </c>
      <c r="B631" s="158" t="s">
        <v>213</v>
      </c>
      <c r="C631" s="6" t="s">
        <v>285</v>
      </c>
      <c r="D631" s="56">
        <v>41153</v>
      </c>
      <c r="E631" s="268">
        <v>64.83</v>
      </c>
      <c r="F631" s="86">
        <f t="shared" si="38"/>
        <v>5.8577645403926841E-2</v>
      </c>
      <c r="G631" s="87">
        <f t="shared" si="39"/>
        <v>3.7975887515365772</v>
      </c>
    </row>
    <row r="632" spans="1:7" x14ac:dyDescent="0.2">
      <c r="A632" s="154" t="s">
        <v>601</v>
      </c>
      <c r="B632" s="158" t="s">
        <v>213</v>
      </c>
      <c r="C632" s="6" t="s">
        <v>285</v>
      </c>
      <c r="D632" s="56">
        <v>41183</v>
      </c>
      <c r="E632" s="268">
        <v>75.100000000000009</v>
      </c>
      <c r="F632" s="86">
        <f t="shared" si="38"/>
        <v>5.8577645403926841E-2</v>
      </c>
      <c r="G632" s="87">
        <f t="shared" si="39"/>
        <v>4.3991811698349066</v>
      </c>
    </row>
    <row r="633" spans="1:7" x14ac:dyDescent="0.2">
      <c r="A633" s="154" t="s">
        <v>601</v>
      </c>
      <c r="B633" s="158" t="s">
        <v>245</v>
      </c>
      <c r="C633" s="6" t="s">
        <v>295</v>
      </c>
      <c r="D633" s="56">
        <v>41122</v>
      </c>
      <c r="E633" s="268">
        <v>746.49</v>
      </c>
      <c r="F633" s="86">
        <f t="shared" si="38"/>
        <v>5.8577645403926841E-2</v>
      </c>
      <c r="G633" s="87">
        <f t="shared" si="39"/>
        <v>43.727626517577349</v>
      </c>
    </row>
    <row r="634" spans="1:7" x14ac:dyDescent="0.2">
      <c r="A634" s="154" t="s">
        <v>601</v>
      </c>
      <c r="B634" s="158" t="s">
        <v>245</v>
      </c>
      <c r="C634" s="6" t="s">
        <v>295</v>
      </c>
      <c r="D634" s="56">
        <v>41153</v>
      </c>
      <c r="E634" s="268">
        <v>1859.33</v>
      </c>
      <c r="F634" s="86">
        <f t="shared" si="38"/>
        <v>5.8577645403926841E-2</v>
      </c>
      <c r="G634" s="87">
        <f t="shared" si="39"/>
        <v>108.91517342888329</v>
      </c>
    </row>
    <row r="635" spans="1:7" x14ac:dyDescent="0.2">
      <c r="A635" s="154" t="s">
        <v>601</v>
      </c>
      <c r="B635" s="158" t="s">
        <v>245</v>
      </c>
      <c r="C635" s="6" t="s">
        <v>295</v>
      </c>
      <c r="D635" s="56">
        <v>41183</v>
      </c>
      <c r="E635" s="268">
        <v>979.53</v>
      </c>
      <c r="F635" s="86">
        <f t="shared" si="38"/>
        <v>5.8577645403926841E-2</v>
      </c>
      <c r="G635" s="87">
        <f t="shared" si="39"/>
        <v>57.378561002508455</v>
      </c>
    </row>
    <row r="636" spans="1:7" x14ac:dyDescent="0.2">
      <c r="A636" s="154" t="s">
        <v>601</v>
      </c>
      <c r="B636" s="158" t="s">
        <v>246</v>
      </c>
      <c r="C636" s="6" t="s">
        <v>299</v>
      </c>
      <c r="D636" s="56">
        <v>41122</v>
      </c>
      <c r="E636" s="268">
        <v>278.2</v>
      </c>
      <c r="F636" s="86">
        <f t="shared" si="38"/>
        <v>5.8577645403926841E-2</v>
      </c>
      <c r="G636" s="87">
        <f t="shared" si="39"/>
        <v>16.296300951372448</v>
      </c>
    </row>
    <row r="637" spans="1:7" x14ac:dyDescent="0.2">
      <c r="A637" s="154" t="s">
        <v>601</v>
      </c>
      <c r="B637" s="158" t="s">
        <v>246</v>
      </c>
      <c r="C637" s="6" t="s">
        <v>299</v>
      </c>
      <c r="D637" s="56">
        <v>41153</v>
      </c>
      <c r="E637" s="268">
        <v>907.02</v>
      </c>
      <c r="F637" s="86">
        <f t="shared" si="38"/>
        <v>5.8577645403926841E-2</v>
      </c>
      <c r="G637" s="87">
        <f t="shared" si="39"/>
        <v>53.131095934269723</v>
      </c>
    </row>
    <row r="638" spans="1:7" x14ac:dyDescent="0.2">
      <c r="A638" s="154" t="s">
        <v>601</v>
      </c>
      <c r="B638" s="158" t="s">
        <v>246</v>
      </c>
      <c r="C638" s="6" t="s">
        <v>299</v>
      </c>
      <c r="D638" s="56">
        <v>41183</v>
      </c>
      <c r="E638" s="268">
        <v>1556.49</v>
      </c>
      <c r="F638" s="86">
        <f t="shared" si="38"/>
        <v>5.8577645403926841E-2</v>
      </c>
      <c r="G638" s="87">
        <f t="shared" si="39"/>
        <v>91.175519294758089</v>
      </c>
    </row>
    <row r="639" spans="1:7" x14ac:dyDescent="0.2">
      <c r="A639" s="154" t="s">
        <v>601</v>
      </c>
      <c r="B639" s="158" t="s">
        <v>247</v>
      </c>
      <c r="C639" s="6" t="s">
        <v>328</v>
      </c>
      <c r="D639" s="56">
        <v>41122</v>
      </c>
      <c r="E639" s="268">
        <v>816.46</v>
      </c>
      <c r="F639" s="86">
        <f t="shared" si="38"/>
        <v>5.8577645403926841E-2</v>
      </c>
      <c r="G639" s="87">
        <f t="shared" si="39"/>
        <v>47.826304366490113</v>
      </c>
    </row>
    <row r="640" spans="1:7" x14ac:dyDescent="0.2">
      <c r="A640" s="154" t="s">
        <v>601</v>
      </c>
      <c r="B640" s="158" t="s">
        <v>247</v>
      </c>
      <c r="C640" s="6" t="s">
        <v>328</v>
      </c>
      <c r="D640" s="56">
        <v>41153</v>
      </c>
      <c r="E640" s="268">
        <v>5589.41</v>
      </c>
      <c r="F640" s="86">
        <f t="shared" si="38"/>
        <v>5.8577645403926841E-2</v>
      </c>
      <c r="G640" s="87">
        <f t="shared" si="39"/>
        <v>327.41447699716269</v>
      </c>
    </row>
    <row r="641" spans="1:7" x14ac:dyDescent="0.2">
      <c r="A641" s="154" t="s">
        <v>601</v>
      </c>
      <c r="B641" s="158" t="s">
        <v>247</v>
      </c>
      <c r="C641" s="6" t="s">
        <v>328</v>
      </c>
      <c r="D641" s="56">
        <v>41153</v>
      </c>
      <c r="E641" s="268">
        <v>-2397.85</v>
      </c>
      <c r="F641" s="86">
        <f t="shared" si="38"/>
        <v>5.8577645403926841E-2</v>
      </c>
      <c r="G641" s="87">
        <f t="shared" si="39"/>
        <v>-140.46040703180597</v>
      </c>
    </row>
    <row r="642" spans="1:7" x14ac:dyDescent="0.2">
      <c r="A642" s="154" t="s">
        <v>601</v>
      </c>
      <c r="B642" s="158" t="s">
        <v>247</v>
      </c>
      <c r="C642" s="6" t="s">
        <v>328</v>
      </c>
      <c r="D642" s="56">
        <v>41183</v>
      </c>
      <c r="E642" s="268">
        <v>1386.77</v>
      </c>
      <c r="F642" s="86">
        <f t="shared" si="38"/>
        <v>5.8577645403926841E-2</v>
      </c>
      <c r="G642" s="87">
        <f t="shared" si="39"/>
        <v>81.233721316803624</v>
      </c>
    </row>
    <row r="643" spans="1:7" x14ac:dyDescent="0.2">
      <c r="A643" s="154" t="s">
        <v>601</v>
      </c>
      <c r="B643" s="158" t="s">
        <v>248</v>
      </c>
      <c r="C643" s="6" t="s">
        <v>330</v>
      </c>
      <c r="D643" s="56">
        <v>41122</v>
      </c>
      <c r="E643" s="268">
        <v>-2.65</v>
      </c>
      <c r="F643" s="86">
        <f t="shared" si="38"/>
        <v>5.8577645403926841E-2</v>
      </c>
      <c r="G643" s="87">
        <f t="shared" si="39"/>
        <v>-0.15523076032040611</v>
      </c>
    </row>
    <row r="644" spans="1:7" x14ac:dyDescent="0.2">
      <c r="A644" s="154" t="s">
        <v>601</v>
      </c>
      <c r="B644" s="158" t="s">
        <v>248</v>
      </c>
      <c r="C644" s="6" t="s">
        <v>330</v>
      </c>
      <c r="D644" s="56">
        <v>41153</v>
      </c>
      <c r="E644" s="268">
        <v>132.26</v>
      </c>
      <c r="F644" s="86">
        <f t="shared" si="38"/>
        <v>5.8577645403926841E-2</v>
      </c>
      <c r="G644" s="87">
        <f t="shared" si="39"/>
        <v>7.7474793811233633</v>
      </c>
    </row>
    <row r="645" spans="1:7" x14ac:dyDescent="0.2">
      <c r="A645" s="154" t="s">
        <v>601</v>
      </c>
      <c r="B645" s="158" t="s">
        <v>248</v>
      </c>
      <c r="C645" s="6" t="s">
        <v>330</v>
      </c>
      <c r="D645" s="56">
        <v>41183</v>
      </c>
      <c r="E645" s="268">
        <v>509.66</v>
      </c>
      <c r="F645" s="86">
        <f t="shared" si="38"/>
        <v>5.8577645403926841E-2</v>
      </c>
      <c r="G645" s="87">
        <f t="shared" si="39"/>
        <v>29.854682756565357</v>
      </c>
    </row>
    <row r="646" spans="1:7" x14ac:dyDescent="0.2">
      <c r="A646" s="154" t="s">
        <v>602</v>
      </c>
      <c r="B646" s="158" t="s">
        <v>204</v>
      </c>
      <c r="C646" s="6" t="s">
        <v>276</v>
      </c>
      <c r="D646" s="56">
        <v>41153</v>
      </c>
      <c r="E646" s="268">
        <v>419.31</v>
      </c>
      <c r="F646" s="86">
        <f t="shared" si="38"/>
        <v>5.8577645403926841E-2</v>
      </c>
      <c r="G646" s="87">
        <f t="shared" si="39"/>
        <v>24.562192494320563</v>
      </c>
    </row>
    <row r="647" spans="1:7" x14ac:dyDescent="0.2">
      <c r="A647" s="154" t="s">
        <v>602</v>
      </c>
      <c r="B647" s="158" t="s">
        <v>245</v>
      </c>
      <c r="C647" s="6" t="s">
        <v>295</v>
      </c>
      <c r="D647" s="56">
        <v>41122</v>
      </c>
      <c r="E647" s="268">
        <v>734.80000000000007</v>
      </c>
      <c r="F647" s="86">
        <f t="shared" si="38"/>
        <v>5.8577645403926841E-2</v>
      </c>
      <c r="G647" s="87">
        <f t="shared" si="39"/>
        <v>43.042853842805449</v>
      </c>
    </row>
    <row r="648" spans="1:7" x14ac:dyDescent="0.2">
      <c r="A648" s="154" t="s">
        <v>602</v>
      </c>
      <c r="B648" s="158" t="s">
        <v>245</v>
      </c>
      <c r="C648" s="6" t="s">
        <v>295</v>
      </c>
      <c r="D648" s="56">
        <v>41153</v>
      </c>
      <c r="E648" s="268">
        <v>1830.17</v>
      </c>
      <c r="F648" s="86">
        <f t="shared" si="38"/>
        <v>5.8577645403926841E-2</v>
      </c>
      <c r="G648" s="87">
        <f t="shared" si="39"/>
        <v>107.20704928890478</v>
      </c>
    </row>
    <row r="649" spans="1:7" x14ac:dyDescent="0.2">
      <c r="A649" s="154" t="s">
        <v>602</v>
      </c>
      <c r="B649" s="158" t="s">
        <v>245</v>
      </c>
      <c r="C649" s="6" t="s">
        <v>295</v>
      </c>
      <c r="D649" s="56">
        <v>41183</v>
      </c>
      <c r="E649" s="268">
        <v>964.18000000000006</v>
      </c>
      <c r="F649" s="86">
        <f t="shared" si="38"/>
        <v>5.8577645403926841E-2</v>
      </c>
      <c r="G649" s="87">
        <f t="shared" si="39"/>
        <v>56.479394145558189</v>
      </c>
    </row>
    <row r="650" spans="1:7" x14ac:dyDescent="0.2">
      <c r="A650" s="154" t="s">
        <v>602</v>
      </c>
      <c r="B650" s="158" t="s">
        <v>249</v>
      </c>
      <c r="C650" s="6" t="s">
        <v>297</v>
      </c>
      <c r="D650" s="56">
        <v>41122</v>
      </c>
      <c r="E650" s="268">
        <v>2169.35</v>
      </c>
      <c r="F650" s="86">
        <f t="shared" si="38"/>
        <v>5.8577645403926841E-2</v>
      </c>
      <c r="G650" s="87">
        <f t="shared" si="39"/>
        <v>127.07541505700868</v>
      </c>
    </row>
    <row r="651" spans="1:7" x14ac:dyDescent="0.2">
      <c r="A651" s="154" t="s">
        <v>602</v>
      </c>
      <c r="B651" s="158" t="s">
        <v>249</v>
      </c>
      <c r="C651" s="6" t="s">
        <v>297</v>
      </c>
      <c r="D651" s="56">
        <v>41153</v>
      </c>
      <c r="E651" s="268">
        <v>1784.42</v>
      </c>
      <c r="F651" s="86">
        <f t="shared" ref="F651:F670" si="40">$B$8</f>
        <v>5.8577645403926841E-2</v>
      </c>
      <c r="G651" s="87">
        <f t="shared" ref="G651:G670" si="41">E651*F651</f>
        <v>104.52712201167513</v>
      </c>
    </row>
    <row r="652" spans="1:7" x14ac:dyDescent="0.2">
      <c r="A652" s="154" t="s">
        <v>602</v>
      </c>
      <c r="B652" s="158" t="s">
        <v>249</v>
      </c>
      <c r="C652" s="6" t="s">
        <v>297</v>
      </c>
      <c r="D652" s="56">
        <v>41183</v>
      </c>
      <c r="E652" s="268">
        <v>3348.09</v>
      </c>
      <c r="F652" s="86">
        <f t="shared" si="40"/>
        <v>5.8577645403926841E-2</v>
      </c>
      <c r="G652" s="87">
        <f t="shared" si="41"/>
        <v>196.12322880043342</v>
      </c>
    </row>
    <row r="653" spans="1:7" x14ac:dyDescent="0.2">
      <c r="A653" s="154" t="s">
        <v>602</v>
      </c>
      <c r="B653" s="158" t="s">
        <v>246</v>
      </c>
      <c r="C653" s="6" t="s">
        <v>299</v>
      </c>
      <c r="D653" s="56">
        <v>41122</v>
      </c>
      <c r="E653" s="268">
        <v>1802.3700000000001</v>
      </c>
      <c r="F653" s="86">
        <f t="shared" si="40"/>
        <v>5.8577645403926841E-2</v>
      </c>
      <c r="G653" s="87">
        <f t="shared" si="41"/>
        <v>105.57859074667563</v>
      </c>
    </row>
    <row r="654" spans="1:7" x14ac:dyDescent="0.2">
      <c r="A654" s="154" t="s">
        <v>602</v>
      </c>
      <c r="B654" s="158" t="s">
        <v>246</v>
      </c>
      <c r="C654" s="6" t="s">
        <v>299</v>
      </c>
      <c r="D654" s="56">
        <v>41153</v>
      </c>
      <c r="E654" s="268">
        <v>5161.37</v>
      </c>
      <c r="F654" s="86">
        <f t="shared" si="40"/>
        <v>5.8577645403926841E-2</v>
      </c>
      <c r="G654" s="87">
        <f t="shared" si="41"/>
        <v>302.3409016584659</v>
      </c>
    </row>
    <row r="655" spans="1:7" x14ac:dyDescent="0.2">
      <c r="A655" s="154" t="s">
        <v>602</v>
      </c>
      <c r="B655" s="158" t="s">
        <v>246</v>
      </c>
      <c r="C655" s="6" t="s">
        <v>299</v>
      </c>
      <c r="D655" s="56">
        <v>41183</v>
      </c>
      <c r="E655" s="268">
        <v>9962.8000000000011</v>
      </c>
      <c r="F655" s="86">
        <f t="shared" si="40"/>
        <v>5.8577645403926841E-2</v>
      </c>
      <c r="G655" s="87">
        <f t="shared" si="41"/>
        <v>583.59736563024239</v>
      </c>
    </row>
    <row r="656" spans="1:7" x14ac:dyDescent="0.2">
      <c r="A656" s="154" t="s">
        <v>602</v>
      </c>
      <c r="B656" s="158" t="s">
        <v>247</v>
      </c>
      <c r="C656" s="6" t="s">
        <v>328</v>
      </c>
      <c r="D656" s="56">
        <v>41122</v>
      </c>
      <c r="E656" s="268">
        <v>2733.4700000000003</v>
      </c>
      <c r="F656" s="86">
        <f t="shared" si="40"/>
        <v>5.8577645403926841E-2</v>
      </c>
      <c r="G656" s="87">
        <f t="shared" si="41"/>
        <v>160.12023638227191</v>
      </c>
    </row>
    <row r="657" spans="1:7" x14ac:dyDescent="0.2">
      <c r="A657" s="154" t="s">
        <v>602</v>
      </c>
      <c r="B657" s="158" t="s">
        <v>247</v>
      </c>
      <c r="C657" s="6" t="s">
        <v>328</v>
      </c>
      <c r="D657" s="56">
        <v>41153</v>
      </c>
      <c r="E657" s="268">
        <v>6163.2</v>
      </c>
      <c r="F657" s="86">
        <f t="shared" si="40"/>
        <v>5.8577645403926841E-2</v>
      </c>
      <c r="G657" s="87">
        <f t="shared" si="41"/>
        <v>361.02574415348192</v>
      </c>
    </row>
    <row r="658" spans="1:7" x14ac:dyDescent="0.2">
      <c r="A658" s="154" t="s">
        <v>602</v>
      </c>
      <c r="B658" s="158" t="s">
        <v>247</v>
      </c>
      <c r="C658" s="6" t="s">
        <v>328</v>
      </c>
      <c r="D658" s="56">
        <v>41153</v>
      </c>
      <c r="E658" s="268">
        <v>-8027.84</v>
      </c>
      <c r="F658" s="86">
        <f t="shared" si="40"/>
        <v>5.8577645403926841E-2</v>
      </c>
      <c r="G658" s="87">
        <f t="shared" si="41"/>
        <v>-470.25196487946005</v>
      </c>
    </row>
    <row r="659" spans="1:7" x14ac:dyDescent="0.2">
      <c r="A659" s="154" t="s">
        <v>602</v>
      </c>
      <c r="B659" s="158" t="s">
        <v>247</v>
      </c>
      <c r="C659" s="6" t="s">
        <v>328</v>
      </c>
      <c r="D659" s="56">
        <v>41183</v>
      </c>
      <c r="E659" s="268">
        <v>1386.8</v>
      </c>
      <c r="F659" s="86">
        <f t="shared" si="40"/>
        <v>5.8577645403926841E-2</v>
      </c>
      <c r="G659" s="87">
        <f t="shared" si="41"/>
        <v>81.235478646165745</v>
      </c>
    </row>
    <row r="660" spans="1:7" x14ac:dyDescent="0.2">
      <c r="A660" s="154" t="s">
        <v>602</v>
      </c>
      <c r="B660" s="158" t="s">
        <v>248</v>
      </c>
      <c r="C660" s="6" t="s">
        <v>330</v>
      </c>
      <c r="D660" s="56">
        <v>41122</v>
      </c>
      <c r="E660" s="268">
        <v>-8.9</v>
      </c>
      <c r="F660" s="86">
        <f t="shared" si="40"/>
        <v>5.8577645403926841E-2</v>
      </c>
      <c r="G660" s="87">
        <f t="shared" si="41"/>
        <v>-0.52134104409494886</v>
      </c>
    </row>
    <row r="661" spans="1:7" x14ac:dyDescent="0.2">
      <c r="A661" s="154" t="s">
        <v>602</v>
      </c>
      <c r="B661" s="158" t="s">
        <v>248</v>
      </c>
      <c r="C661" s="6" t="s">
        <v>330</v>
      </c>
      <c r="D661" s="56">
        <v>41153</v>
      </c>
      <c r="E661" s="268">
        <v>442.42</v>
      </c>
      <c r="F661" s="86">
        <f t="shared" si="40"/>
        <v>5.8577645403926841E-2</v>
      </c>
      <c r="G661" s="87">
        <f t="shared" si="41"/>
        <v>25.915921879605314</v>
      </c>
    </row>
    <row r="662" spans="1:7" x14ac:dyDescent="0.2">
      <c r="A662" s="154" t="s">
        <v>602</v>
      </c>
      <c r="B662" s="158" t="s">
        <v>248</v>
      </c>
      <c r="C662" s="6" t="s">
        <v>330</v>
      </c>
      <c r="D662" s="56">
        <v>41183</v>
      </c>
      <c r="E662" s="268">
        <v>1704.9</v>
      </c>
      <c r="F662" s="86">
        <f t="shared" si="40"/>
        <v>5.8577645403926841E-2</v>
      </c>
      <c r="G662" s="87">
        <f t="shared" si="41"/>
        <v>99.869027649154873</v>
      </c>
    </row>
    <row r="663" spans="1:7" x14ac:dyDescent="0.2">
      <c r="A663" s="154" t="s">
        <v>602</v>
      </c>
      <c r="B663" s="158" t="s">
        <v>250</v>
      </c>
      <c r="C663" s="6" t="s">
        <v>332</v>
      </c>
      <c r="D663" s="56">
        <v>41122</v>
      </c>
      <c r="E663" s="268">
        <v>1938.1100000000001</v>
      </c>
      <c r="F663" s="86">
        <f t="shared" si="40"/>
        <v>5.8577645403926841E-2</v>
      </c>
      <c r="G663" s="87">
        <f t="shared" si="41"/>
        <v>113.52992033380465</v>
      </c>
    </row>
    <row r="664" spans="1:7" x14ac:dyDescent="0.2">
      <c r="A664" s="154" t="s">
        <v>602</v>
      </c>
      <c r="B664" s="158" t="s">
        <v>250</v>
      </c>
      <c r="C664" s="6" t="s">
        <v>332</v>
      </c>
      <c r="D664" s="56">
        <v>41153</v>
      </c>
      <c r="E664" s="268">
        <v>4829.67</v>
      </c>
      <c r="F664" s="86">
        <f t="shared" si="40"/>
        <v>5.8577645403926841E-2</v>
      </c>
      <c r="G664" s="87">
        <f t="shared" si="41"/>
        <v>282.91069667798337</v>
      </c>
    </row>
    <row r="665" spans="1:7" x14ac:dyDescent="0.2">
      <c r="A665" s="154" t="s">
        <v>602</v>
      </c>
      <c r="B665" s="158" t="s">
        <v>250</v>
      </c>
      <c r="C665" s="6" t="s">
        <v>332</v>
      </c>
      <c r="D665" s="56">
        <v>41183</v>
      </c>
      <c r="E665" s="268">
        <v>18545.54</v>
      </c>
      <c r="F665" s="86">
        <f t="shared" si="40"/>
        <v>5.8577645403926841E-2</v>
      </c>
      <c r="G665" s="87">
        <f t="shared" si="41"/>
        <v>1086.3540659443415</v>
      </c>
    </row>
    <row r="666" spans="1:7" x14ac:dyDescent="0.2">
      <c r="A666" s="154" t="s">
        <v>603</v>
      </c>
      <c r="B666" s="158" t="s">
        <v>251</v>
      </c>
      <c r="C666" s="6" t="s">
        <v>302</v>
      </c>
      <c r="D666" s="56">
        <v>41183</v>
      </c>
      <c r="E666" s="268">
        <v>593.6</v>
      </c>
      <c r="F666" s="86">
        <f t="shared" si="40"/>
        <v>5.8577645403926841E-2</v>
      </c>
      <c r="G666" s="87">
        <f t="shared" si="41"/>
        <v>34.771690311770975</v>
      </c>
    </row>
    <row r="667" spans="1:7" x14ac:dyDescent="0.2">
      <c r="A667" s="154" t="s">
        <v>603</v>
      </c>
      <c r="B667" s="158" t="s">
        <v>252</v>
      </c>
      <c r="C667" s="6" t="s">
        <v>304</v>
      </c>
      <c r="D667" s="56">
        <v>41122</v>
      </c>
      <c r="E667" s="268">
        <v>-13.27</v>
      </c>
      <c r="F667" s="86">
        <f t="shared" si="40"/>
        <v>5.8577645403926841E-2</v>
      </c>
      <c r="G667" s="87">
        <f t="shared" si="41"/>
        <v>-0.7773253545101092</v>
      </c>
    </row>
    <row r="668" spans="1:7" x14ac:dyDescent="0.2">
      <c r="A668" s="154" t="s">
        <v>603</v>
      </c>
      <c r="B668" s="158" t="s">
        <v>252</v>
      </c>
      <c r="C668" s="6" t="s">
        <v>304</v>
      </c>
      <c r="D668" s="56">
        <v>41153</v>
      </c>
      <c r="E668" s="268">
        <v>-17.86</v>
      </c>
      <c r="F668" s="86">
        <f t="shared" si="40"/>
        <v>5.8577645403926841E-2</v>
      </c>
      <c r="G668" s="87">
        <f t="shared" si="41"/>
        <v>-1.0461967469141333</v>
      </c>
    </row>
    <row r="669" spans="1:7" x14ac:dyDescent="0.2">
      <c r="A669" s="154" t="s">
        <v>603</v>
      </c>
      <c r="B669" s="158" t="s">
        <v>253</v>
      </c>
      <c r="C669" s="6" t="s">
        <v>306</v>
      </c>
      <c r="D669" s="56">
        <v>41153</v>
      </c>
      <c r="E669" s="268">
        <v>1992.43</v>
      </c>
      <c r="F669" s="86">
        <f t="shared" si="40"/>
        <v>5.8577645403926841E-2</v>
      </c>
      <c r="G669" s="87">
        <f t="shared" si="41"/>
        <v>116.71185803214595</v>
      </c>
    </row>
    <row r="670" spans="1:7" x14ac:dyDescent="0.2">
      <c r="A670" s="154" t="s">
        <v>603</v>
      </c>
      <c r="B670" s="158" t="s">
        <v>255</v>
      </c>
      <c r="C670" s="6" t="s">
        <v>338</v>
      </c>
      <c r="D670" s="56">
        <v>41153</v>
      </c>
      <c r="E670" s="167">
        <v>196.27</v>
      </c>
      <c r="F670" s="86">
        <f t="shared" si="40"/>
        <v>5.8577645403926841E-2</v>
      </c>
      <c r="G670" s="87">
        <f t="shared" si="41"/>
        <v>11.497034463428722</v>
      </c>
    </row>
    <row r="671" spans="1:7" x14ac:dyDescent="0.2">
      <c r="E671" s="267"/>
    </row>
    <row r="672" spans="1:7" ht="13.5" thickBot="1" x14ac:dyDescent="0.25">
      <c r="C672" s="12" t="s">
        <v>29</v>
      </c>
      <c r="E672" s="265">
        <f>SUM(E583:E670)</f>
        <v>218599.31000000006</v>
      </c>
      <c r="G672" s="84">
        <f>SUM(G583:G670)</f>
        <v>12805.032866723082</v>
      </c>
    </row>
    <row r="673" spans="1:7" ht="13.5" thickTop="1" x14ac:dyDescent="0.2">
      <c r="C673" s="12"/>
      <c r="E673" s="83"/>
      <c r="G673" s="85"/>
    </row>
    <row r="674" spans="1:7" ht="13.5" thickBot="1" x14ac:dyDescent="0.25">
      <c r="C674" s="12" t="s">
        <v>39</v>
      </c>
      <c r="E674" s="252">
        <f>E672+E578+E479</f>
        <v>925269.41999999969</v>
      </c>
      <c r="G674" s="15">
        <f>G672+G578+G479</f>
        <v>31600.114204013509</v>
      </c>
    </row>
    <row r="675" spans="1:7" ht="13.5" thickTop="1" x14ac:dyDescent="0.2">
      <c r="C675" s="12"/>
      <c r="E675" s="83"/>
    </row>
    <row r="676" spans="1:7" x14ac:dyDescent="0.2">
      <c r="C676" s="12"/>
      <c r="E676" s="83"/>
    </row>
    <row r="677" spans="1:7" x14ac:dyDescent="0.2">
      <c r="A677" s="2" t="s">
        <v>40</v>
      </c>
      <c r="E677" s="267"/>
    </row>
    <row r="678" spans="1:7" x14ac:dyDescent="0.2">
      <c r="E678" s="267"/>
    </row>
    <row r="679" spans="1:7" x14ac:dyDescent="0.2">
      <c r="A679" s="154" t="s">
        <v>604</v>
      </c>
      <c r="B679" s="159" t="s">
        <v>567</v>
      </c>
      <c r="C679" s="6" t="s">
        <v>557</v>
      </c>
      <c r="D679" s="56">
        <v>41061</v>
      </c>
      <c r="E679" s="8">
        <v>2780.44</v>
      </c>
      <c r="F679" s="54">
        <f>$B$10</f>
        <v>2.6513400221759475E-2</v>
      </c>
      <c r="G679" s="80">
        <f>E679*F679</f>
        <v>73.718918512588914</v>
      </c>
    </row>
    <row r="680" spans="1:7" x14ac:dyDescent="0.2">
      <c r="A680" s="154" t="s">
        <v>604</v>
      </c>
      <c r="B680" s="159" t="s">
        <v>567</v>
      </c>
      <c r="C680" s="6" t="s">
        <v>557</v>
      </c>
      <c r="D680" s="56">
        <v>41091</v>
      </c>
      <c r="E680" s="8">
        <v>9.27</v>
      </c>
      <c r="F680" s="54">
        <f t="shared" ref="F680:F681" si="42">$B$10</f>
        <v>2.6513400221759475E-2</v>
      </c>
      <c r="G680" s="80">
        <f t="shared" ref="G680:G681" si="43">E680*F680</f>
        <v>0.24577922005571032</v>
      </c>
    </row>
    <row r="681" spans="1:7" x14ac:dyDescent="0.2">
      <c r="A681" s="154" t="s">
        <v>604</v>
      </c>
      <c r="B681" s="159" t="s">
        <v>567</v>
      </c>
      <c r="C681" s="6" t="s">
        <v>557</v>
      </c>
      <c r="D681" s="56">
        <v>41122</v>
      </c>
      <c r="E681" s="8">
        <v>-4.71</v>
      </c>
      <c r="F681" s="54">
        <f t="shared" si="42"/>
        <v>2.6513400221759475E-2</v>
      </c>
      <c r="G681" s="80">
        <f t="shared" si="43"/>
        <v>-0.12487811504448712</v>
      </c>
    </row>
    <row r="682" spans="1:7" x14ac:dyDescent="0.2">
      <c r="A682" s="154" t="s">
        <v>604</v>
      </c>
      <c r="B682" s="159" t="s">
        <v>567</v>
      </c>
      <c r="C682" s="6" t="s">
        <v>557</v>
      </c>
      <c r="D682" s="56">
        <v>41153</v>
      </c>
      <c r="E682" s="8">
        <v>-6.33</v>
      </c>
      <c r="F682" s="54">
        <f>$B$10</f>
        <v>2.6513400221759475E-2</v>
      </c>
      <c r="G682" s="80">
        <f>E682*F682</f>
        <v>-0.16782982340373748</v>
      </c>
    </row>
    <row r="683" spans="1:7" x14ac:dyDescent="0.2">
      <c r="A683" s="79"/>
      <c r="B683" s="79"/>
      <c r="C683" s="79"/>
      <c r="D683" s="82"/>
      <c r="E683" s="83"/>
    </row>
    <row r="684" spans="1:7" ht="13.5" thickBot="1" x14ac:dyDescent="0.25">
      <c r="A684" s="79"/>
      <c r="B684" s="79"/>
      <c r="C684" s="12" t="s">
        <v>27</v>
      </c>
      <c r="D684" s="82"/>
      <c r="E684" s="265">
        <f>SUM(E679:E682)</f>
        <v>2778.67</v>
      </c>
      <c r="G684" s="84">
        <f>SUM(G679:G682)</f>
        <v>73.671989794196406</v>
      </c>
    </row>
    <row r="685" spans="1:7" ht="13.5" thickTop="1" x14ac:dyDescent="0.2">
      <c r="A685" s="79"/>
      <c r="B685" s="79"/>
      <c r="C685" s="79"/>
      <c r="D685" s="82"/>
      <c r="E685" s="83"/>
    </row>
    <row r="686" spans="1:7" x14ac:dyDescent="0.2">
      <c r="E686" s="267"/>
    </row>
    <row r="687" spans="1:7" ht="13.5" thickBot="1" x14ac:dyDescent="0.25">
      <c r="C687" s="12" t="s">
        <v>41</v>
      </c>
      <c r="E687" s="252">
        <f>E684</f>
        <v>2778.67</v>
      </c>
      <c r="G687" s="15">
        <f>G684</f>
        <v>73.671989794196406</v>
      </c>
    </row>
    <row r="688" spans="1:7" ht="13.5" thickTop="1" x14ac:dyDescent="0.2">
      <c r="E688" s="269"/>
      <c r="G688" s="16"/>
    </row>
    <row r="689" spans="3:7" ht="13.5" thickBot="1" x14ac:dyDescent="0.25">
      <c r="C689" s="12" t="s">
        <v>42</v>
      </c>
      <c r="E689" s="252">
        <f>E687+E674+E442+E299</f>
        <v>3642511.6300000008</v>
      </c>
      <c r="G689" s="195">
        <f>G687+G674+G442+G299</f>
        <v>162718.28486278455</v>
      </c>
    </row>
    <row r="690" spans="3:7" ht="13.5" thickTop="1" x14ac:dyDescent="0.2">
      <c r="E690" s="267"/>
    </row>
    <row r="691" spans="3:7" x14ac:dyDescent="0.2">
      <c r="E691" s="267"/>
    </row>
    <row r="692" spans="3:7" x14ac:dyDescent="0.2">
      <c r="E692" s="267"/>
    </row>
    <row r="693" spans="3:7" x14ac:dyDescent="0.2">
      <c r="E693" s="267"/>
    </row>
    <row r="694" spans="3:7" x14ac:dyDescent="0.2">
      <c r="E694" s="267"/>
    </row>
    <row r="695" spans="3:7" x14ac:dyDescent="0.2">
      <c r="E695" s="267"/>
    </row>
    <row r="696" spans="3:7" x14ac:dyDescent="0.2">
      <c r="E696" s="267"/>
    </row>
    <row r="697" spans="3:7" x14ac:dyDescent="0.2">
      <c r="E697" s="267"/>
    </row>
    <row r="698" spans="3:7" x14ac:dyDescent="0.2">
      <c r="E698" s="267"/>
    </row>
    <row r="699" spans="3:7" x14ac:dyDescent="0.2">
      <c r="E699" s="267"/>
    </row>
    <row r="700" spans="3:7" x14ac:dyDescent="0.2">
      <c r="E700" s="267"/>
    </row>
    <row r="701" spans="3:7" x14ac:dyDescent="0.2">
      <c r="E701" s="267"/>
    </row>
    <row r="702" spans="3:7" x14ac:dyDescent="0.2">
      <c r="E702" s="267"/>
    </row>
    <row r="703" spans="3:7" x14ac:dyDescent="0.2">
      <c r="E703" s="267"/>
    </row>
    <row r="704" spans="3:7" x14ac:dyDescent="0.2">
      <c r="E704" s="267"/>
    </row>
    <row r="705" spans="5:5" x14ac:dyDescent="0.2">
      <c r="E705" s="267"/>
    </row>
    <row r="706" spans="5:5" x14ac:dyDescent="0.2">
      <c r="E706" s="267"/>
    </row>
    <row r="707" spans="5:5" x14ac:dyDescent="0.2">
      <c r="E707" s="267"/>
    </row>
    <row r="708" spans="5:5" x14ac:dyDescent="0.2">
      <c r="E708" s="267"/>
    </row>
  </sheetData>
  <mergeCells count="3">
    <mergeCell ref="A3:G3"/>
    <mergeCell ref="A1:G1"/>
    <mergeCell ref="A2:G2"/>
  </mergeCells>
  <phoneticPr fontId="3" type="noConversion"/>
  <pageMargins left="0.48" right="0.43" top="1" bottom="0.93" header="0.5" footer="0.38"/>
  <pageSetup scale="90" fitToHeight="10" orientation="landscape" r:id="rId1"/>
  <headerFooter alignWithMargins="0">
    <oddFooter>&amp;R&amp;9APPENDIX B
SCHEDULE 8
Property Taxes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indexed="12"/>
  </sheetPr>
  <dimension ref="A4:K18"/>
  <sheetViews>
    <sheetView showGridLines="0" zoomScaleNormal="60" workbookViewId="0"/>
  </sheetViews>
  <sheetFormatPr defaultRowHeight="12.75" x14ac:dyDescent="0.2"/>
  <cols>
    <col min="1" max="16384" width="9.140625" style="29"/>
  </cols>
  <sheetData>
    <row r="4" spans="1:11" ht="20.25" x14ac:dyDescent="0.3">
      <c r="A4" s="271" t="s">
        <v>169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8" spans="1:11" ht="18" x14ac:dyDescent="0.25">
      <c r="B8" s="185" t="s">
        <v>158</v>
      </c>
      <c r="C8" s="185"/>
      <c r="D8" s="186" t="s">
        <v>136</v>
      </c>
      <c r="E8" s="185"/>
      <c r="F8" s="185"/>
      <c r="G8" s="185"/>
      <c r="H8" s="185"/>
    </row>
    <row r="9" spans="1:11" ht="18" x14ac:dyDescent="0.25">
      <c r="B9" s="185"/>
      <c r="C9" s="185"/>
      <c r="D9" s="186"/>
      <c r="E9" s="185"/>
      <c r="F9" s="185"/>
      <c r="G9" s="185"/>
      <c r="H9" s="185"/>
    </row>
    <row r="10" spans="1:11" ht="18" x14ac:dyDescent="0.25">
      <c r="B10" s="185" t="s">
        <v>170</v>
      </c>
      <c r="C10" s="185"/>
      <c r="D10" s="186" t="s">
        <v>175</v>
      </c>
      <c r="E10" s="185"/>
      <c r="F10" s="185"/>
      <c r="G10" s="185"/>
      <c r="H10" s="185"/>
    </row>
    <row r="11" spans="1:11" ht="18" x14ac:dyDescent="0.25">
      <c r="B11" s="185"/>
      <c r="C11" s="185"/>
      <c r="D11" s="185"/>
      <c r="E11" s="185"/>
    </row>
    <row r="12" spans="1:11" ht="18" x14ac:dyDescent="0.25">
      <c r="B12" s="185" t="s">
        <v>171</v>
      </c>
      <c r="C12" s="185"/>
      <c r="D12" s="186" t="s">
        <v>144</v>
      </c>
      <c r="E12" s="185"/>
    </row>
    <row r="13" spans="1:11" ht="18" x14ac:dyDescent="0.25">
      <c r="B13" s="185"/>
      <c r="C13" s="185"/>
      <c r="D13" s="186"/>
      <c r="E13" s="185"/>
    </row>
    <row r="14" spans="1:11" ht="18" x14ac:dyDescent="0.25">
      <c r="B14" s="185" t="s">
        <v>172</v>
      </c>
      <c r="C14" s="185"/>
      <c r="D14" s="186" t="s">
        <v>145</v>
      </c>
      <c r="E14" s="185"/>
    </row>
    <row r="15" spans="1:11" ht="18" x14ac:dyDescent="0.25">
      <c r="B15" s="185"/>
      <c r="C15" s="185"/>
      <c r="D15" s="185"/>
      <c r="E15" s="185"/>
    </row>
    <row r="16" spans="1:11" ht="18" x14ac:dyDescent="0.25">
      <c r="B16" s="185" t="s">
        <v>173</v>
      </c>
      <c r="C16" s="185"/>
      <c r="D16" s="186" t="s">
        <v>146</v>
      </c>
      <c r="E16" s="185"/>
    </row>
    <row r="17" spans="2:5" ht="18" x14ac:dyDescent="0.25">
      <c r="B17" s="185"/>
      <c r="C17" s="185"/>
      <c r="D17" s="186"/>
      <c r="E17" s="185"/>
    </row>
    <row r="18" spans="2:5" ht="18" x14ac:dyDescent="0.25">
      <c r="B18" s="185" t="s">
        <v>174</v>
      </c>
      <c r="C18" s="185"/>
      <c r="D18" s="186" t="s">
        <v>147</v>
      </c>
      <c r="E18" s="185"/>
    </row>
  </sheetData>
  <mergeCells count="1">
    <mergeCell ref="A4:K4"/>
  </mergeCells>
  <phoneticPr fontId="3" type="noConversion"/>
  <pageMargins left="0.75" right="0.75" top="1" bottom="1" header="0.5" footer="0.5"/>
  <pageSetup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" enableFormatConditionsCalculation="0">
    <tabColor indexed="12"/>
    <pageSetUpPr autoPageBreaks="0" fitToPage="1"/>
  </sheetPr>
  <dimension ref="A1:H28"/>
  <sheetViews>
    <sheetView showGridLines="0" zoomScaleNormal="75" zoomScaleSheetLayoutView="70" workbookViewId="0">
      <selection sqref="A1:G1"/>
    </sheetView>
  </sheetViews>
  <sheetFormatPr defaultColWidth="12.42578125" defaultRowHeight="15.75" x14ac:dyDescent="0.25"/>
  <cols>
    <col min="1" max="1" width="5.5703125" style="113" bestFit="1" customWidth="1"/>
    <col min="2" max="2" width="53" style="113" customWidth="1"/>
    <col min="3" max="3" width="25.5703125" style="113" customWidth="1"/>
    <col min="4" max="4" width="19.5703125" style="113" customWidth="1"/>
    <col min="5" max="5" width="8.7109375" style="113" bestFit="1" customWidth="1"/>
    <col min="6" max="6" width="12.5703125" style="113" customWidth="1"/>
    <col min="7" max="7" width="8.85546875" style="113" customWidth="1"/>
    <col min="8" max="8" width="10.42578125" style="113" customWidth="1"/>
    <col min="9" max="16384" width="12.42578125" style="113"/>
  </cols>
  <sheetData>
    <row r="1" spans="1:8" x14ac:dyDescent="0.25">
      <c r="A1" s="275" t="s">
        <v>363</v>
      </c>
      <c r="B1" s="276"/>
      <c r="C1" s="276"/>
      <c r="D1" s="276"/>
      <c r="E1" s="276"/>
      <c r="F1" s="276"/>
      <c r="G1" s="276"/>
      <c r="H1" s="134"/>
    </row>
    <row r="2" spans="1:8" x14ac:dyDescent="0.25">
      <c r="A2" s="275" t="s">
        <v>115</v>
      </c>
      <c r="B2" s="276"/>
      <c r="C2" s="276"/>
      <c r="D2" s="276"/>
      <c r="E2" s="276"/>
      <c r="F2" s="276"/>
      <c r="G2" s="276"/>
      <c r="H2" s="134"/>
    </row>
    <row r="3" spans="1:8" x14ac:dyDescent="0.25">
      <c r="A3" s="275" t="s">
        <v>149</v>
      </c>
      <c r="B3" s="276"/>
      <c r="C3" s="276"/>
      <c r="D3" s="276"/>
      <c r="E3" s="276"/>
      <c r="F3" s="276"/>
      <c r="G3" s="276"/>
      <c r="H3" s="134"/>
    </row>
    <row r="4" spans="1:8" x14ac:dyDescent="0.25">
      <c r="A4" s="132"/>
      <c r="B4" s="133"/>
      <c r="C4" s="133"/>
      <c r="D4" s="135"/>
      <c r="E4" s="135"/>
      <c r="F4" s="135"/>
      <c r="G4" s="135"/>
      <c r="H4" s="127"/>
    </row>
    <row r="5" spans="1:8" x14ac:dyDescent="0.25">
      <c r="A5" s="132"/>
      <c r="B5" s="133"/>
      <c r="C5" s="133"/>
      <c r="D5" s="135"/>
      <c r="E5" s="135"/>
      <c r="F5" s="135"/>
      <c r="G5" s="135"/>
      <c r="H5" s="127"/>
    </row>
    <row r="6" spans="1:8" x14ac:dyDescent="0.25">
      <c r="A6" s="132"/>
      <c r="B6" s="133"/>
      <c r="C6" s="133"/>
      <c r="D6" s="135" t="s">
        <v>126</v>
      </c>
      <c r="E6" s="135"/>
      <c r="F6" s="135"/>
      <c r="G6" s="135"/>
      <c r="H6" s="127"/>
    </row>
    <row r="7" spans="1:8" x14ac:dyDescent="0.25">
      <c r="A7" s="127"/>
      <c r="B7" s="127"/>
      <c r="C7" s="127"/>
      <c r="D7" s="135" t="s">
        <v>126</v>
      </c>
      <c r="E7" s="135"/>
      <c r="F7" s="135"/>
      <c r="G7" s="135"/>
      <c r="H7" s="127"/>
    </row>
    <row r="8" spans="1:8" x14ac:dyDescent="0.25">
      <c r="A8" s="136" t="s">
        <v>127</v>
      </c>
      <c r="B8" s="137" t="s">
        <v>128</v>
      </c>
      <c r="C8" s="138" t="s">
        <v>48</v>
      </c>
      <c r="D8" s="135"/>
      <c r="E8" s="135"/>
      <c r="F8" s="135"/>
      <c r="G8" s="127"/>
      <c r="H8" s="127"/>
    </row>
    <row r="9" spans="1:8" x14ac:dyDescent="0.25">
      <c r="A9" s="116">
        <v>1</v>
      </c>
      <c r="B9" s="137" t="s">
        <v>134</v>
      </c>
      <c r="C9" s="168" t="s">
        <v>367</v>
      </c>
      <c r="D9" s="135"/>
      <c r="E9" s="135"/>
      <c r="F9" s="135"/>
      <c r="G9" s="135"/>
      <c r="H9" s="127"/>
    </row>
    <row r="10" spans="1:8" x14ac:dyDescent="0.25">
      <c r="A10" s="116">
        <f>1+A9</f>
        <v>2</v>
      </c>
      <c r="B10" s="127"/>
      <c r="C10" s="127"/>
      <c r="D10" s="127"/>
      <c r="E10" s="127"/>
      <c r="F10" s="135"/>
      <c r="G10" s="135"/>
      <c r="H10" s="127"/>
    </row>
    <row r="11" spans="1:8" s="115" customFormat="1" x14ac:dyDescent="0.25">
      <c r="A11" s="116">
        <f t="shared" ref="A11:A20" si="0">1+A10</f>
        <v>3</v>
      </c>
      <c r="B11" s="127"/>
      <c r="C11" s="127"/>
      <c r="D11" s="135"/>
      <c r="E11" s="135"/>
      <c r="F11" s="135"/>
      <c r="G11" s="135"/>
      <c r="H11" s="135"/>
    </row>
    <row r="12" spans="1:8" s="115" customFormat="1" x14ac:dyDescent="0.25">
      <c r="A12" s="116">
        <f t="shared" si="0"/>
        <v>4</v>
      </c>
      <c r="B12" s="137" t="s">
        <v>129</v>
      </c>
      <c r="C12" s="127"/>
      <c r="D12" s="139"/>
      <c r="E12" s="139"/>
      <c r="F12" s="139"/>
      <c r="G12" s="135"/>
      <c r="H12" s="140"/>
    </row>
    <row r="13" spans="1:8" s="115" customFormat="1" x14ac:dyDescent="0.25">
      <c r="A13" s="116">
        <f t="shared" si="0"/>
        <v>5</v>
      </c>
      <c r="B13" s="135" t="s">
        <v>130</v>
      </c>
      <c r="C13" s="171">
        <v>0.35</v>
      </c>
      <c r="D13" s="139"/>
      <c r="E13" s="139"/>
      <c r="F13" s="139"/>
      <c r="G13" s="135"/>
      <c r="H13" s="135"/>
    </row>
    <row r="14" spans="1:8" s="115" customFormat="1" x14ac:dyDescent="0.25">
      <c r="A14" s="116">
        <f t="shared" si="0"/>
        <v>6</v>
      </c>
      <c r="B14" s="141" t="s">
        <v>131</v>
      </c>
      <c r="C14" s="172">
        <v>6.25E-2</v>
      </c>
      <c r="D14" s="142"/>
      <c r="E14" s="142"/>
      <c r="F14" s="142"/>
      <c r="G14" s="135"/>
      <c r="H14" s="135"/>
    </row>
    <row r="15" spans="1:8" s="115" customFormat="1" x14ac:dyDescent="0.25">
      <c r="A15" s="116">
        <f t="shared" si="0"/>
        <v>7</v>
      </c>
      <c r="B15" s="141" t="s">
        <v>132</v>
      </c>
      <c r="C15" s="198">
        <v>0.390625</v>
      </c>
      <c r="D15" s="196"/>
      <c r="E15" s="197"/>
      <c r="F15" s="142"/>
      <c r="G15" s="135"/>
      <c r="H15" s="135"/>
    </row>
    <row r="16" spans="1:8" s="115" customFormat="1" x14ac:dyDescent="0.25">
      <c r="A16" s="116">
        <f t="shared" si="0"/>
        <v>8</v>
      </c>
      <c r="B16" s="141"/>
      <c r="C16" s="143"/>
      <c r="D16" s="142"/>
      <c r="E16" s="142"/>
      <c r="F16" s="142"/>
      <c r="G16" s="135"/>
      <c r="H16" s="135"/>
    </row>
    <row r="17" spans="1:8" s="115" customFormat="1" x14ac:dyDescent="0.25">
      <c r="A17" s="116">
        <f t="shared" si="0"/>
        <v>9</v>
      </c>
      <c r="B17" s="199" t="s">
        <v>368</v>
      </c>
      <c r="C17" s="143"/>
      <c r="D17" s="142"/>
      <c r="E17" s="142"/>
      <c r="F17" s="142"/>
      <c r="G17" s="135"/>
      <c r="H17" s="135"/>
    </row>
    <row r="18" spans="1:8" s="115" customFormat="1" ht="12" customHeight="1" x14ac:dyDescent="0.25">
      <c r="A18" s="116">
        <f t="shared" si="0"/>
        <v>10</v>
      </c>
      <c r="B18" s="200" t="s">
        <v>369</v>
      </c>
      <c r="C18" s="144"/>
      <c r="D18" s="145"/>
      <c r="E18" s="145"/>
      <c r="F18" s="142"/>
      <c r="G18" s="135"/>
      <c r="H18" s="135"/>
    </row>
    <row r="19" spans="1:8" s="115" customFormat="1" x14ac:dyDescent="0.25">
      <c r="A19" s="116">
        <f t="shared" si="0"/>
        <v>11</v>
      </c>
      <c r="B19" s="141"/>
      <c r="C19" s="143"/>
      <c r="D19" s="142"/>
      <c r="E19" s="142"/>
      <c r="F19" s="142"/>
      <c r="G19" s="135"/>
      <c r="H19" s="135"/>
    </row>
    <row r="20" spans="1:8" s="115" customFormat="1" x14ac:dyDescent="0.25">
      <c r="A20" s="116">
        <f t="shared" si="0"/>
        <v>12</v>
      </c>
      <c r="B20" s="141" t="s">
        <v>133</v>
      </c>
      <c r="C20" s="146">
        <f>1/1-C15</f>
        <v>0.609375</v>
      </c>
      <c r="D20" s="147"/>
      <c r="E20" s="147"/>
      <c r="F20" s="147"/>
      <c r="G20" s="135"/>
      <c r="H20" s="135"/>
    </row>
    <row r="21" spans="1:8" s="115" customFormat="1" x14ac:dyDescent="0.25">
      <c r="A21" s="116"/>
      <c r="B21" s="135"/>
      <c r="C21" s="135"/>
      <c r="D21" s="148"/>
      <c r="E21" s="148"/>
      <c r="F21" s="149"/>
      <c r="G21" s="135"/>
      <c r="H21" s="135"/>
    </row>
    <row r="22" spans="1:8" x14ac:dyDescent="0.25">
      <c r="A22" s="114"/>
      <c r="B22" s="118"/>
      <c r="C22" s="169"/>
      <c r="D22" s="121"/>
      <c r="E22" s="119"/>
      <c r="F22" s="115"/>
      <c r="G22" s="123"/>
      <c r="H22" s="122"/>
    </row>
    <row r="23" spans="1:8" x14ac:dyDescent="0.25">
      <c r="A23" s="114"/>
      <c r="B23" s="120"/>
      <c r="C23" s="117"/>
      <c r="D23" s="117"/>
      <c r="E23" s="117"/>
      <c r="F23" s="124"/>
      <c r="G23" s="123"/>
      <c r="H23" s="122"/>
    </row>
    <row r="24" spans="1:8" x14ac:dyDescent="0.25">
      <c r="B24" s="125"/>
      <c r="C24" s="126"/>
    </row>
    <row r="25" spans="1:8" ht="17.25" x14ac:dyDescent="0.35">
      <c r="B25" s="127"/>
      <c r="C25" s="128"/>
    </row>
    <row r="26" spans="1:8" x14ac:dyDescent="0.25">
      <c r="C26" s="129"/>
    </row>
    <row r="28" spans="1:8" x14ac:dyDescent="0.25">
      <c r="C28" s="129"/>
    </row>
  </sheetData>
  <mergeCells count="3">
    <mergeCell ref="A1:G1"/>
    <mergeCell ref="A2:G2"/>
    <mergeCell ref="A3:G3"/>
  </mergeCells>
  <phoneticPr fontId="20" type="noConversion"/>
  <pageMargins left="1.0900000000000001" right="0.5" top="0.75" bottom="0.3" header="0.5" footer="0.5"/>
  <pageSetup scale="70" orientation="portrait" horizontalDpi="300" r:id="rId1"/>
  <headerFooter alignWithMargins="0">
    <oddFooter xml:space="preserve">&amp;RAPPENDIX C
SCHEDULE 1
Tax Rate Calculation
PAGE 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2"/>
  </sheetPr>
  <dimension ref="A4:K10"/>
  <sheetViews>
    <sheetView showGridLines="0" zoomScaleNormal="60" workbookViewId="0"/>
  </sheetViews>
  <sheetFormatPr defaultRowHeight="12.75" x14ac:dyDescent="0.2"/>
  <cols>
    <col min="1" max="16384" width="9.140625" style="29"/>
  </cols>
  <sheetData>
    <row r="4" spans="1:11" ht="20.25" x14ac:dyDescent="0.3">
      <c r="A4" s="271" t="s">
        <v>157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8" spans="1:11" ht="18" x14ac:dyDescent="0.25">
      <c r="B8" s="185" t="s">
        <v>158</v>
      </c>
      <c r="C8" s="185"/>
      <c r="D8" s="186" t="s">
        <v>160</v>
      </c>
      <c r="E8" s="185"/>
      <c r="F8" s="185"/>
      <c r="G8" s="185"/>
      <c r="H8" s="185"/>
    </row>
    <row r="9" spans="1:11" ht="18" x14ac:dyDescent="0.25">
      <c r="B9" s="185"/>
      <c r="C9" s="185"/>
      <c r="D9" s="186"/>
      <c r="E9" s="185"/>
      <c r="F9" s="185"/>
      <c r="G9" s="185"/>
      <c r="H9" s="185"/>
    </row>
    <row r="10" spans="1:11" ht="18" x14ac:dyDescent="0.25">
      <c r="B10" s="185" t="s">
        <v>159</v>
      </c>
      <c r="C10" s="185"/>
      <c r="D10" s="186" t="s">
        <v>4</v>
      </c>
      <c r="E10" s="185"/>
      <c r="F10" s="185"/>
      <c r="G10" s="185"/>
      <c r="H10" s="185"/>
    </row>
  </sheetData>
  <mergeCells count="1">
    <mergeCell ref="A4:K4"/>
  </mergeCells>
  <phoneticPr fontId="3" type="noConversion"/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2"/>
  </sheetPr>
  <dimension ref="A1:I784"/>
  <sheetViews>
    <sheetView showGridLines="0" zoomScale="90" zoomScaleNormal="90" zoomScaleSheetLayoutView="65" workbookViewId="0"/>
  </sheetViews>
  <sheetFormatPr defaultRowHeight="12.75" x14ac:dyDescent="0.2"/>
  <cols>
    <col min="1" max="1" width="14.5703125" customWidth="1"/>
    <col min="2" max="2" width="17.140625" customWidth="1"/>
    <col min="3" max="3" width="52.85546875" customWidth="1"/>
    <col min="4" max="4" width="11.7109375" customWidth="1"/>
    <col min="5" max="5" width="16.85546875" style="29" customWidth="1"/>
    <col min="6" max="6" width="12.28515625" customWidth="1"/>
    <col min="7" max="7" width="13.140625" customWidth="1"/>
    <col min="8" max="8" width="20.28515625" customWidth="1"/>
    <col min="9" max="9" width="19.7109375" customWidth="1"/>
  </cols>
  <sheetData>
    <row r="1" spans="1:9" x14ac:dyDescent="0.2">
      <c r="A1" s="2" t="s">
        <v>15</v>
      </c>
      <c r="F1" s="189">
        <v>41548</v>
      </c>
    </row>
    <row r="2" spans="1:9" x14ac:dyDescent="0.2">
      <c r="A2" s="3"/>
      <c r="B2" s="3"/>
      <c r="C2" s="3"/>
      <c r="D2" s="3"/>
      <c r="E2" s="170"/>
      <c r="F2" s="3"/>
      <c r="G2" s="3"/>
      <c r="H2" s="3"/>
      <c r="I2" s="3"/>
    </row>
    <row r="3" spans="1:9" s="5" customFormat="1" ht="25.5" x14ac:dyDescent="0.2">
      <c r="A3" s="4" t="s">
        <v>16</v>
      </c>
      <c r="B3" s="4" t="s">
        <v>17</v>
      </c>
      <c r="C3" s="4" t="s">
        <v>18</v>
      </c>
      <c r="D3" s="4" t="s">
        <v>19</v>
      </c>
      <c r="E3" s="181" t="s">
        <v>20</v>
      </c>
      <c r="F3" s="4" t="s">
        <v>21</v>
      </c>
      <c r="G3" s="4" t="s">
        <v>22</v>
      </c>
      <c r="H3" s="4" t="s">
        <v>23</v>
      </c>
      <c r="I3" s="4" t="s">
        <v>24</v>
      </c>
    </row>
    <row r="4" spans="1:9" x14ac:dyDescent="0.2">
      <c r="A4" s="203">
        <v>37600</v>
      </c>
      <c r="B4" s="204" t="s">
        <v>379</v>
      </c>
      <c r="C4" s="201" t="s">
        <v>380</v>
      </c>
      <c r="D4" s="202">
        <v>41280</v>
      </c>
      <c r="E4" s="8">
        <v>2989.9699999999993</v>
      </c>
      <c r="F4" s="17">
        <f>IF((YEAR($F$1)-YEAR($D4))*12+MONTH($F$1)-MONTH($D4)&gt;12,12,(YEAR($F$1)-YEAR($D4))*12+MONTH($F$1)-MONTH($D4))</f>
        <v>9</v>
      </c>
      <c r="G4" s="236">
        <f>0.0153/12</f>
        <v>1.2749999999999999E-3</v>
      </c>
      <c r="H4" s="8">
        <f>ROUND(E4*F4*G4,2)</f>
        <v>34.31</v>
      </c>
      <c r="I4" s="8">
        <f>ROUND(E4*G4*12,2)</f>
        <v>45.75</v>
      </c>
    </row>
    <row r="5" spans="1:9" x14ac:dyDescent="0.2">
      <c r="A5" s="205">
        <v>37600</v>
      </c>
      <c r="B5" s="204" t="s">
        <v>378</v>
      </c>
      <c r="C5" s="6" t="s">
        <v>382</v>
      </c>
      <c r="D5" s="202">
        <v>41365</v>
      </c>
      <c r="E5" s="8">
        <v>3141.0999999999995</v>
      </c>
      <c r="F5" s="17">
        <f>IF((YEAR($F$1)-YEAR($D5))*12+MONTH($F$1)-MONTH($D5)&gt;12,12,(YEAR($F$1)-YEAR($D5))*12+MONTH($F$1)-MONTH($D5))</f>
        <v>6</v>
      </c>
      <c r="G5" s="236">
        <f t="shared" ref="G5:G34" si="0">0.0153/12</f>
        <v>1.2749999999999999E-3</v>
      </c>
      <c r="H5" s="8">
        <f>ROUND(E5*F5*G5,2)</f>
        <v>24.03</v>
      </c>
      <c r="I5" s="8">
        <f>ROUND(E5*G5*12,2)</f>
        <v>48.06</v>
      </c>
    </row>
    <row r="6" spans="1:9" x14ac:dyDescent="0.2">
      <c r="A6" s="206">
        <v>37600</v>
      </c>
      <c r="B6" s="204" t="s">
        <v>377</v>
      </c>
      <c r="C6" s="6" t="s">
        <v>381</v>
      </c>
      <c r="D6" s="202">
        <v>41368</v>
      </c>
      <c r="E6" s="8">
        <v>2068.37</v>
      </c>
      <c r="F6" s="17">
        <f t="shared" ref="F6:F34" si="1">IF((YEAR($F$1)-YEAR($D6))*12+MONTH($F$1)-MONTH($D6)&gt;12,12,(YEAR($F$1)-YEAR($D6))*12+MONTH($F$1)-MONTH($D6))</f>
        <v>6</v>
      </c>
      <c r="G6" s="236">
        <f t="shared" si="0"/>
        <v>1.2749999999999999E-3</v>
      </c>
      <c r="H6" s="8">
        <f t="shared" ref="H6:H20" si="2">ROUND(E6*F6*G6,2)</f>
        <v>15.82</v>
      </c>
      <c r="I6" s="8">
        <f t="shared" ref="I6:I20" si="3">ROUND(E6*G6*12,2)</f>
        <v>31.65</v>
      </c>
    </row>
    <row r="7" spans="1:9" x14ac:dyDescent="0.2">
      <c r="A7" s="203">
        <v>37600</v>
      </c>
      <c r="B7" s="204" t="s">
        <v>376</v>
      </c>
      <c r="C7" s="6" t="s">
        <v>380</v>
      </c>
      <c r="D7" s="202">
        <v>41369</v>
      </c>
      <c r="E7" s="8">
        <v>7217.0000000000018</v>
      </c>
      <c r="F7" s="17">
        <f t="shared" si="1"/>
        <v>6</v>
      </c>
      <c r="G7" s="236">
        <f t="shared" si="0"/>
        <v>1.2749999999999999E-3</v>
      </c>
      <c r="H7" s="8">
        <f t="shared" si="2"/>
        <v>55.21</v>
      </c>
      <c r="I7" s="8">
        <f t="shared" si="3"/>
        <v>110.42</v>
      </c>
    </row>
    <row r="8" spans="1:9" x14ac:dyDescent="0.2">
      <c r="A8" s="205">
        <v>37600</v>
      </c>
      <c r="B8" s="204" t="s">
        <v>375</v>
      </c>
      <c r="C8" s="6" t="s">
        <v>383</v>
      </c>
      <c r="D8" s="202">
        <v>41370</v>
      </c>
      <c r="E8" s="8">
        <v>1171.9199999999998</v>
      </c>
      <c r="F8" s="17">
        <f t="shared" si="1"/>
        <v>6</v>
      </c>
      <c r="G8" s="236">
        <f t="shared" si="0"/>
        <v>1.2749999999999999E-3</v>
      </c>
      <c r="H8" s="8">
        <f t="shared" si="2"/>
        <v>8.9700000000000006</v>
      </c>
      <c r="I8" s="8">
        <f t="shared" si="3"/>
        <v>17.93</v>
      </c>
    </row>
    <row r="9" spans="1:9" x14ac:dyDescent="0.2">
      <c r="A9" s="205">
        <v>37600</v>
      </c>
      <c r="B9" s="204" t="s">
        <v>374</v>
      </c>
      <c r="C9" s="6" t="s">
        <v>382</v>
      </c>
      <c r="D9" s="202">
        <v>41426</v>
      </c>
      <c r="E9" s="8">
        <v>15767.75</v>
      </c>
      <c r="F9" s="17">
        <f t="shared" si="1"/>
        <v>4</v>
      </c>
      <c r="G9" s="236">
        <f t="shared" si="0"/>
        <v>1.2749999999999999E-3</v>
      </c>
      <c r="H9" s="8">
        <f t="shared" si="2"/>
        <v>80.42</v>
      </c>
      <c r="I9" s="8">
        <f t="shared" si="3"/>
        <v>241.25</v>
      </c>
    </row>
    <row r="10" spans="1:9" x14ac:dyDescent="0.2">
      <c r="A10" s="206">
        <v>37600</v>
      </c>
      <c r="B10" s="204" t="s">
        <v>373</v>
      </c>
      <c r="C10" s="6" t="s">
        <v>381</v>
      </c>
      <c r="D10" s="202">
        <v>41429</v>
      </c>
      <c r="E10" s="8">
        <v>108.68</v>
      </c>
      <c r="F10" s="17">
        <f t="shared" si="1"/>
        <v>4</v>
      </c>
      <c r="G10" s="236">
        <f t="shared" si="0"/>
        <v>1.2749999999999999E-3</v>
      </c>
      <c r="H10" s="8">
        <f t="shared" si="2"/>
        <v>0.55000000000000004</v>
      </c>
      <c r="I10" s="8">
        <f t="shared" si="3"/>
        <v>1.66</v>
      </c>
    </row>
    <row r="11" spans="1:9" x14ac:dyDescent="0.2">
      <c r="A11" s="203">
        <v>37600</v>
      </c>
      <c r="B11" s="204" t="s">
        <v>372</v>
      </c>
      <c r="C11" s="6" t="s">
        <v>380</v>
      </c>
      <c r="D11" s="202">
        <v>41430</v>
      </c>
      <c r="E11" s="8">
        <v>1873.9799999999998</v>
      </c>
      <c r="F11" s="17">
        <f t="shared" si="1"/>
        <v>4</v>
      </c>
      <c r="G11" s="236">
        <f t="shared" si="0"/>
        <v>1.2749999999999999E-3</v>
      </c>
      <c r="H11" s="8">
        <f t="shared" si="2"/>
        <v>9.56</v>
      </c>
      <c r="I11" s="8">
        <f t="shared" si="3"/>
        <v>28.67</v>
      </c>
    </row>
    <row r="12" spans="1:9" x14ac:dyDescent="0.2">
      <c r="A12" s="205">
        <v>37600</v>
      </c>
      <c r="B12" s="204" t="s">
        <v>371</v>
      </c>
      <c r="C12" s="6" t="s">
        <v>382</v>
      </c>
      <c r="D12" s="202">
        <v>41276</v>
      </c>
      <c r="E12" s="8">
        <v>813.73</v>
      </c>
      <c r="F12" s="17">
        <f t="shared" si="1"/>
        <v>9</v>
      </c>
      <c r="G12" s="236">
        <f t="shared" si="0"/>
        <v>1.2749999999999999E-3</v>
      </c>
      <c r="H12" s="8">
        <f t="shared" si="2"/>
        <v>9.34</v>
      </c>
      <c r="I12" s="8">
        <f t="shared" si="3"/>
        <v>12.45</v>
      </c>
    </row>
    <row r="13" spans="1:9" x14ac:dyDescent="0.2">
      <c r="A13" s="206">
        <v>37600</v>
      </c>
      <c r="B13" s="204" t="s">
        <v>370</v>
      </c>
      <c r="C13" s="6" t="s">
        <v>381</v>
      </c>
      <c r="D13" s="202">
        <v>41279</v>
      </c>
      <c r="E13" s="8">
        <v>1453.59</v>
      </c>
      <c r="F13" s="17">
        <f t="shared" si="1"/>
        <v>9</v>
      </c>
      <c r="G13" s="236">
        <f t="shared" si="0"/>
        <v>1.2749999999999999E-3</v>
      </c>
      <c r="H13" s="8">
        <f t="shared" si="2"/>
        <v>16.68</v>
      </c>
      <c r="I13" s="8">
        <f t="shared" si="3"/>
        <v>22.24</v>
      </c>
    </row>
    <row r="14" spans="1:9" x14ac:dyDescent="0.2">
      <c r="A14" s="206" t="s">
        <v>585</v>
      </c>
      <c r="B14" s="204" t="s">
        <v>180</v>
      </c>
      <c r="C14" s="6" t="s">
        <v>360</v>
      </c>
      <c r="D14" s="7">
        <v>41122</v>
      </c>
      <c r="E14" s="243">
        <v>1196.68</v>
      </c>
      <c r="F14" s="17">
        <f t="shared" si="1"/>
        <v>12</v>
      </c>
      <c r="G14" s="236">
        <f t="shared" si="0"/>
        <v>1.2749999999999999E-3</v>
      </c>
      <c r="H14" s="8">
        <f t="shared" si="2"/>
        <v>18.309999999999999</v>
      </c>
      <c r="I14" s="8">
        <f t="shared" si="3"/>
        <v>18.309999999999999</v>
      </c>
    </row>
    <row r="15" spans="1:9" x14ac:dyDescent="0.2">
      <c r="A15" s="206" t="s">
        <v>585</v>
      </c>
      <c r="B15" s="204" t="s">
        <v>180</v>
      </c>
      <c r="C15" s="6" t="s">
        <v>360</v>
      </c>
      <c r="D15" s="7">
        <v>41153</v>
      </c>
      <c r="E15" s="243">
        <v>1601.51</v>
      </c>
      <c r="F15" s="17">
        <f t="shared" si="1"/>
        <v>12</v>
      </c>
      <c r="G15" s="236">
        <f t="shared" si="0"/>
        <v>1.2749999999999999E-3</v>
      </c>
      <c r="H15" s="8">
        <f t="shared" si="2"/>
        <v>24.5</v>
      </c>
      <c r="I15" s="8">
        <f t="shared" si="3"/>
        <v>24.5</v>
      </c>
    </row>
    <row r="16" spans="1:9" x14ac:dyDescent="0.2">
      <c r="A16" s="206" t="s">
        <v>585</v>
      </c>
      <c r="B16" s="204" t="s">
        <v>180</v>
      </c>
      <c r="C16" s="6" t="s">
        <v>360</v>
      </c>
      <c r="D16" s="7">
        <v>41183</v>
      </c>
      <c r="E16" s="8">
        <v>19.510000000000002</v>
      </c>
      <c r="F16" s="17">
        <f t="shared" si="1"/>
        <v>12</v>
      </c>
      <c r="G16" s="236">
        <f t="shared" si="0"/>
        <v>1.2749999999999999E-3</v>
      </c>
      <c r="H16" s="8">
        <f t="shared" si="2"/>
        <v>0.3</v>
      </c>
      <c r="I16" s="8">
        <f t="shared" si="3"/>
        <v>0.3</v>
      </c>
    </row>
    <row r="17" spans="1:9" x14ac:dyDescent="0.2">
      <c r="A17" s="206" t="s">
        <v>586</v>
      </c>
      <c r="B17" s="204" t="s">
        <v>563</v>
      </c>
      <c r="C17" s="6" t="s">
        <v>554</v>
      </c>
      <c r="D17" s="7">
        <v>41122</v>
      </c>
      <c r="E17" s="8">
        <v>6.83</v>
      </c>
      <c r="F17" s="17">
        <f t="shared" si="1"/>
        <v>12</v>
      </c>
      <c r="G17" s="236">
        <f t="shared" si="0"/>
        <v>1.2749999999999999E-3</v>
      </c>
      <c r="H17" s="8">
        <f t="shared" si="2"/>
        <v>0.1</v>
      </c>
      <c r="I17" s="8">
        <f t="shared" si="3"/>
        <v>0.1</v>
      </c>
    </row>
    <row r="18" spans="1:9" x14ac:dyDescent="0.2">
      <c r="A18" s="206" t="s">
        <v>587</v>
      </c>
      <c r="B18" s="204" t="s">
        <v>563</v>
      </c>
      <c r="C18" s="6" t="s">
        <v>554</v>
      </c>
      <c r="D18" s="7">
        <v>41122</v>
      </c>
      <c r="E18" s="243">
        <v>27.75</v>
      </c>
      <c r="F18" s="17">
        <f t="shared" si="1"/>
        <v>12</v>
      </c>
      <c r="G18" s="236">
        <f t="shared" si="0"/>
        <v>1.2749999999999999E-3</v>
      </c>
      <c r="H18" s="8">
        <f t="shared" si="2"/>
        <v>0.42</v>
      </c>
      <c r="I18" s="8">
        <f t="shared" si="3"/>
        <v>0.42</v>
      </c>
    </row>
    <row r="19" spans="1:9" x14ac:dyDescent="0.2">
      <c r="A19" s="206" t="s">
        <v>587</v>
      </c>
      <c r="B19" s="204" t="s">
        <v>563</v>
      </c>
      <c r="C19" s="6" t="s">
        <v>554</v>
      </c>
      <c r="D19" s="7">
        <v>41153</v>
      </c>
      <c r="E19" s="243">
        <v>1833.75</v>
      </c>
      <c r="F19" s="17">
        <f t="shared" si="1"/>
        <v>12</v>
      </c>
      <c r="G19" s="236">
        <f t="shared" si="0"/>
        <v>1.2749999999999999E-3</v>
      </c>
      <c r="H19" s="8">
        <f t="shared" si="2"/>
        <v>28.06</v>
      </c>
      <c r="I19" s="8">
        <f t="shared" si="3"/>
        <v>28.06</v>
      </c>
    </row>
    <row r="20" spans="1:9" x14ac:dyDescent="0.2">
      <c r="A20" s="206" t="s">
        <v>587</v>
      </c>
      <c r="B20" s="204" t="s">
        <v>563</v>
      </c>
      <c r="C20" s="6" t="s">
        <v>554</v>
      </c>
      <c r="D20" s="7">
        <v>41183</v>
      </c>
      <c r="E20" s="8">
        <v>2173.4</v>
      </c>
      <c r="F20" s="17">
        <f t="shared" si="1"/>
        <v>12</v>
      </c>
      <c r="G20" s="236">
        <f t="shared" si="0"/>
        <v>1.2749999999999999E-3</v>
      </c>
      <c r="H20" s="8">
        <f t="shared" si="2"/>
        <v>33.25</v>
      </c>
      <c r="I20" s="8">
        <f t="shared" si="3"/>
        <v>33.25</v>
      </c>
    </row>
    <row r="21" spans="1:9" x14ac:dyDescent="0.2">
      <c r="A21" s="203" t="s">
        <v>585</v>
      </c>
      <c r="B21" s="6" t="s">
        <v>182</v>
      </c>
      <c r="C21" s="6" t="s">
        <v>347</v>
      </c>
      <c r="D21" s="202">
        <v>41061</v>
      </c>
      <c r="E21" s="8">
        <v>-583.11</v>
      </c>
      <c r="F21" s="17">
        <f t="shared" si="1"/>
        <v>12</v>
      </c>
      <c r="G21" s="236">
        <f t="shared" si="0"/>
        <v>1.2749999999999999E-3</v>
      </c>
      <c r="H21" s="8">
        <f t="shared" ref="H21:H34" si="4">ROUND(E21*F21*G21,2)</f>
        <v>-8.92</v>
      </c>
      <c r="I21" s="8">
        <f t="shared" ref="I21:I34" si="5">ROUND(E21*G21*12,2)</f>
        <v>-8.92</v>
      </c>
    </row>
    <row r="22" spans="1:9" x14ac:dyDescent="0.2">
      <c r="A22" s="203" t="s">
        <v>585</v>
      </c>
      <c r="B22" s="6" t="s">
        <v>178</v>
      </c>
      <c r="C22" s="6" t="s">
        <v>353</v>
      </c>
      <c r="D22" s="202">
        <v>41061</v>
      </c>
      <c r="E22" s="8">
        <v>-1.21</v>
      </c>
      <c r="F22" s="17">
        <f t="shared" si="1"/>
        <v>12</v>
      </c>
      <c r="G22" s="236">
        <f t="shared" si="0"/>
        <v>1.2749999999999999E-3</v>
      </c>
      <c r="H22" s="8">
        <f t="shared" si="4"/>
        <v>-0.02</v>
      </c>
      <c r="I22" s="8">
        <f t="shared" si="5"/>
        <v>-0.02</v>
      </c>
    </row>
    <row r="23" spans="1:9" x14ac:dyDescent="0.2">
      <c r="A23" s="203" t="s">
        <v>585</v>
      </c>
      <c r="B23" s="6" t="s">
        <v>179</v>
      </c>
      <c r="C23" s="6" t="s">
        <v>355</v>
      </c>
      <c r="D23" s="202">
        <v>41061</v>
      </c>
      <c r="E23" s="8">
        <v>0.48</v>
      </c>
      <c r="F23" s="17">
        <f t="shared" si="1"/>
        <v>12</v>
      </c>
      <c r="G23" s="236">
        <f t="shared" si="0"/>
        <v>1.2749999999999999E-3</v>
      </c>
      <c r="H23" s="8">
        <f t="shared" si="4"/>
        <v>0.01</v>
      </c>
      <c r="I23" s="8">
        <f t="shared" si="5"/>
        <v>0.01</v>
      </c>
    </row>
    <row r="24" spans="1:9" x14ac:dyDescent="0.2">
      <c r="A24" s="203" t="s">
        <v>585</v>
      </c>
      <c r="B24" s="6" t="s">
        <v>180</v>
      </c>
      <c r="C24" s="6" t="s">
        <v>360</v>
      </c>
      <c r="D24" s="202">
        <v>41061</v>
      </c>
      <c r="E24" s="8">
        <v>0.96</v>
      </c>
      <c r="F24" s="17">
        <f t="shared" si="1"/>
        <v>12</v>
      </c>
      <c r="G24" s="236">
        <f t="shared" si="0"/>
        <v>1.2749999999999999E-3</v>
      </c>
      <c r="H24" s="8">
        <f t="shared" si="4"/>
        <v>0.01</v>
      </c>
      <c r="I24" s="8">
        <f t="shared" si="5"/>
        <v>0.01</v>
      </c>
    </row>
    <row r="25" spans="1:9" x14ac:dyDescent="0.2">
      <c r="A25" s="203" t="s">
        <v>585</v>
      </c>
      <c r="B25" s="6" t="s">
        <v>180</v>
      </c>
      <c r="C25" s="6" t="s">
        <v>360</v>
      </c>
      <c r="D25" s="202">
        <v>41091</v>
      </c>
      <c r="E25" s="8">
        <v>2718.4</v>
      </c>
      <c r="F25" s="17">
        <f t="shared" si="1"/>
        <v>12</v>
      </c>
      <c r="G25" s="236">
        <f t="shared" si="0"/>
        <v>1.2749999999999999E-3</v>
      </c>
      <c r="H25" s="8">
        <f t="shared" si="4"/>
        <v>41.59</v>
      </c>
      <c r="I25" s="8">
        <f t="shared" si="5"/>
        <v>41.59</v>
      </c>
    </row>
    <row r="26" spans="1:9" x14ac:dyDescent="0.2">
      <c r="A26" s="203" t="s">
        <v>586</v>
      </c>
      <c r="B26" s="6" t="s">
        <v>182</v>
      </c>
      <c r="C26" s="6" t="s">
        <v>347</v>
      </c>
      <c r="D26" s="202">
        <v>41061</v>
      </c>
      <c r="E26" s="8">
        <v>-2666.59</v>
      </c>
      <c r="F26" s="17">
        <f t="shared" si="1"/>
        <v>12</v>
      </c>
      <c r="G26" s="236">
        <f t="shared" si="0"/>
        <v>1.2749999999999999E-3</v>
      </c>
      <c r="H26" s="8">
        <f t="shared" si="4"/>
        <v>-40.799999999999997</v>
      </c>
      <c r="I26" s="8">
        <f t="shared" si="5"/>
        <v>-40.799999999999997</v>
      </c>
    </row>
    <row r="27" spans="1:9" x14ac:dyDescent="0.2">
      <c r="A27" s="203" t="s">
        <v>586</v>
      </c>
      <c r="B27" s="6" t="s">
        <v>181</v>
      </c>
      <c r="C27" s="6" t="s">
        <v>349</v>
      </c>
      <c r="D27" s="202">
        <v>41061</v>
      </c>
      <c r="E27" s="8">
        <v>471.76</v>
      </c>
      <c r="F27" s="17">
        <f t="shared" si="1"/>
        <v>12</v>
      </c>
      <c r="G27" s="236">
        <f t="shared" si="0"/>
        <v>1.2749999999999999E-3</v>
      </c>
      <c r="H27" s="8">
        <f t="shared" si="4"/>
        <v>7.22</v>
      </c>
      <c r="I27" s="8">
        <f t="shared" si="5"/>
        <v>7.22</v>
      </c>
    </row>
    <row r="28" spans="1:9" x14ac:dyDescent="0.2">
      <c r="A28" s="203" t="s">
        <v>586</v>
      </c>
      <c r="B28" s="6" t="s">
        <v>178</v>
      </c>
      <c r="C28" s="6" t="s">
        <v>353</v>
      </c>
      <c r="D28" s="202">
        <v>41061</v>
      </c>
      <c r="E28" s="8">
        <v>-0.6</v>
      </c>
      <c r="F28" s="17">
        <f t="shared" si="1"/>
        <v>12</v>
      </c>
      <c r="G28" s="236">
        <f t="shared" si="0"/>
        <v>1.2749999999999999E-3</v>
      </c>
      <c r="H28" s="8">
        <f t="shared" si="4"/>
        <v>-0.01</v>
      </c>
      <c r="I28" s="8">
        <f t="shared" si="5"/>
        <v>-0.01</v>
      </c>
    </row>
    <row r="29" spans="1:9" x14ac:dyDescent="0.2">
      <c r="A29" s="203" t="s">
        <v>586</v>
      </c>
      <c r="B29" s="6" t="s">
        <v>563</v>
      </c>
      <c r="C29" s="6" t="s">
        <v>554</v>
      </c>
      <c r="D29" s="202">
        <v>41061</v>
      </c>
      <c r="E29" s="8">
        <v>499.29999999999995</v>
      </c>
      <c r="F29" s="17">
        <f t="shared" si="1"/>
        <v>12</v>
      </c>
      <c r="G29" s="236">
        <f t="shared" si="0"/>
        <v>1.2749999999999999E-3</v>
      </c>
      <c r="H29" s="8">
        <f t="shared" si="4"/>
        <v>7.64</v>
      </c>
      <c r="I29" s="8">
        <f t="shared" si="5"/>
        <v>7.64</v>
      </c>
    </row>
    <row r="30" spans="1:9" x14ac:dyDescent="0.2">
      <c r="A30" s="203" t="s">
        <v>587</v>
      </c>
      <c r="B30" s="6" t="s">
        <v>182</v>
      </c>
      <c r="C30" s="6" t="s">
        <v>347</v>
      </c>
      <c r="D30" s="202">
        <v>41061</v>
      </c>
      <c r="E30" s="8">
        <v>1435.3600000000001</v>
      </c>
      <c r="F30" s="17">
        <f t="shared" si="1"/>
        <v>12</v>
      </c>
      <c r="G30" s="236">
        <f t="shared" si="0"/>
        <v>1.2749999999999999E-3</v>
      </c>
      <c r="H30" s="8">
        <f t="shared" si="4"/>
        <v>21.96</v>
      </c>
      <c r="I30" s="8">
        <f t="shared" si="5"/>
        <v>21.96</v>
      </c>
    </row>
    <row r="31" spans="1:9" x14ac:dyDescent="0.2">
      <c r="A31" s="203" t="s">
        <v>587</v>
      </c>
      <c r="B31" s="6" t="s">
        <v>181</v>
      </c>
      <c r="C31" s="6" t="s">
        <v>349</v>
      </c>
      <c r="D31" s="202">
        <v>41061</v>
      </c>
      <c r="E31" s="8">
        <v>235.87</v>
      </c>
      <c r="F31" s="17">
        <f t="shared" si="1"/>
        <v>12</v>
      </c>
      <c r="G31" s="236">
        <f t="shared" si="0"/>
        <v>1.2749999999999999E-3</v>
      </c>
      <c r="H31" s="8">
        <f t="shared" si="4"/>
        <v>3.61</v>
      </c>
      <c r="I31" s="8">
        <f t="shared" si="5"/>
        <v>3.61</v>
      </c>
    </row>
    <row r="32" spans="1:9" x14ac:dyDescent="0.2">
      <c r="A32" s="203" t="s">
        <v>587</v>
      </c>
      <c r="B32" s="6" t="s">
        <v>178</v>
      </c>
      <c r="C32" s="6" t="s">
        <v>353</v>
      </c>
      <c r="D32" s="202">
        <v>41061</v>
      </c>
      <c r="E32" s="8">
        <v>-1.2</v>
      </c>
      <c r="F32" s="17">
        <f t="shared" si="1"/>
        <v>12</v>
      </c>
      <c r="G32" s="236">
        <f t="shared" si="0"/>
        <v>1.2749999999999999E-3</v>
      </c>
      <c r="H32" s="8">
        <f t="shared" si="4"/>
        <v>-0.02</v>
      </c>
      <c r="I32" s="8">
        <f t="shared" si="5"/>
        <v>-0.02</v>
      </c>
    </row>
    <row r="33" spans="1:9" x14ac:dyDescent="0.2">
      <c r="A33" s="203" t="s">
        <v>587</v>
      </c>
      <c r="B33" s="6" t="s">
        <v>563</v>
      </c>
      <c r="C33" s="6" t="s">
        <v>554</v>
      </c>
      <c r="D33" s="202">
        <v>41061</v>
      </c>
      <c r="E33" s="8">
        <v>269.25</v>
      </c>
      <c r="F33" s="17">
        <f t="shared" si="1"/>
        <v>12</v>
      </c>
      <c r="G33" s="236">
        <f t="shared" si="0"/>
        <v>1.2749999999999999E-3</v>
      </c>
      <c r="H33" s="8">
        <f t="shared" si="4"/>
        <v>4.12</v>
      </c>
      <c r="I33" s="8">
        <f t="shared" si="5"/>
        <v>4.12</v>
      </c>
    </row>
    <row r="34" spans="1:9" x14ac:dyDescent="0.2">
      <c r="A34" s="203" t="s">
        <v>587</v>
      </c>
      <c r="B34" s="6" t="s">
        <v>563</v>
      </c>
      <c r="C34" s="6" t="s">
        <v>554</v>
      </c>
      <c r="D34" s="202">
        <v>41091</v>
      </c>
      <c r="E34" s="8">
        <v>1758.81</v>
      </c>
      <c r="F34" s="17">
        <f t="shared" si="1"/>
        <v>12</v>
      </c>
      <c r="G34" s="236">
        <f t="shared" si="0"/>
        <v>1.2749999999999999E-3</v>
      </c>
      <c r="H34" s="8">
        <f t="shared" si="4"/>
        <v>26.91</v>
      </c>
      <c r="I34" s="8">
        <f t="shared" si="5"/>
        <v>26.91</v>
      </c>
    </row>
    <row r="35" spans="1:9" s="3" customFormat="1" x14ac:dyDescent="0.2">
      <c r="D35" s="9"/>
      <c r="E35" s="182"/>
      <c r="F35" s="11"/>
      <c r="G35" s="161"/>
      <c r="H35" s="10"/>
      <c r="I35" s="10"/>
    </row>
    <row r="36" spans="1:9" s="3" customFormat="1" ht="13.5" thickBot="1" x14ac:dyDescent="0.25">
      <c r="C36" s="12" t="s">
        <v>25</v>
      </c>
      <c r="D36" s="9"/>
      <c r="E36" s="244">
        <f>SUM(E4:E34)</f>
        <v>47603.000000000022</v>
      </c>
      <c r="F36" s="151"/>
      <c r="G36" s="162"/>
      <c r="H36" s="13">
        <f>SUM(H4:H34)</f>
        <v>423.13000000000005</v>
      </c>
      <c r="I36" s="13">
        <f>SUM(I4:I34)</f>
        <v>728.32</v>
      </c>
    </row>
    <row r="37" spans="1:9" s="3" customFormat="1" ht="13.5" thickTop="1" x14ac:dyDescent="0.2">
      <c r="D37" s="9"/>
      <c r="E37" s="182"/>
      <c r="F37" s="11"/>
      <c r="G37" s="161"/>
      <c r="H37" s="10"/>
      <c r="I37" s="10"/>
    </row>
    <row r="38" spans="1:9" s="3" customFormat="1" x14ac:dyDescent="0.2">
      <c r="D38" s="9"/>
      <c r="E38" s="182"/>
      <c r="F38" s="11"/>
      <c r="G38" s="161"/>
      <c r="H38" s="10"/>
      <c r="I38" s="10"/>
    </row>
    <row r="39" spans="1:9" s="3" customFormat="1" x14ac:dyDescent="0.2">
      <c r="A39" s="2" t="s">
        <v>26</v>
      </c>
      <c r="D39" s="9"/>
      <c r="E39" s="182"/>
      <c r="F39" s="11"/>
      <c r="G39" s="161"/>
      <c r="H39" s="10"/>
      <c r="I39" s="10"/>
    </row>
    <row r="40" spans="1:9" s="3" customFormat="1" x14ac:dyDescent="0.2">
      <c r="D40" s="9"/>
      <c r="E40" s="182"/>
      <c r="F40" s="11"/>
      <c r="G40" s="161"/>
      <c r="H40" s="10"/>
      <c r="I40" s="10"/>
    </row>
    <row r="41" spans="1:9" x14ac:dyDescent="0.2">
      <c r="A41" s="206">
        <v>37600</v>
      </c>
      <c r="B41" s="204" t="s">
        <v>398</v>
      </c>
      <c r="C41" s="6" t="s">
        <v>382</v>
      </c>
      <c r="D41" s="202">
        <v>41296</v>
      </c>
      <c r="E41" s="8">
        <v>19386.349999999999</v>
      </c>
      <c r="F41" s="17">
        <f t="shared" ref="F41:F192" si="6">IF((YEAR($F$1)-YEAR($D41))*12+MONTH($F$1)-MONTH($D41)&gt;12,12,(YEAR($F$1)-YEAR($D41))*12+MONTH($F$1)-MONTH($D41))</f>
        <v>9</v>
      </c>
      <c r="G41" s="236">
        <f t="shared" ref="G41:G104" si="7">0.0153/12</f>
        <v>1.2749999999999999E-3</v>
      </c>
      <c r="H41" s="8">
        <f t="shared" ref="H41:H49" si="8">ROUND(E41*F41*G41,2)</f>
        <v>222.46</v>
      </c>
      <c r="I41" s="8">
        <f t="shared" ref="I41:I49" si="9">ROUND(E41*G41*12,2)</f>
        <v>296.61</v>
      </c>
    </row>
    <row r="42" spans="1:9" x14ac:dyDescent="0.2">
      <c r="A42" s="206">
        <v>37600</v>
      </c>
      <c r="B42" s="204" t="s">
        <v>399</v>
      </c>
      <c r="C42" s="6" t="s">
        <v>381</v>
      </c>
      <c r="D42" s="202">
        <v>41299</v>
      </c>
      <c r="E42" s="8">
        <v>10053.07999999998</v>
      </c>
      <c r="F42" s="17">
        <f t="shared" si="6"/>
        <v>9</v>
      </c>
      <c r="G42" s="236">
        <f t="shared" si="7"/>
        <v>1.2749999999999999E-3</v>
      </c>
      <c r="H42" s="8">
        <f t="shared" si="8"/>
        <v>115.36</v>
      </c>
      <c r="I42" s="8">
        <f t="shared" si="9"/>
        <v>153.81</v>
      </c>
    </row>
    <row r="43" spans="1:9" x14ac:dyDescent="0.2">
      <c r="A43" s="203">
        <v>37600</v>
      </c>
      <c r="B43" s="204" t="s">
        <v>400</v>
      </c>
      <c r="C43" s="6" t="s">
        <v>380</v>
      </c>
      <c r="D43" s="202">
        <v>41300</v>
      </c>
      <c r="E43" s="8">
        <v>121.9</v>
      </c>
      <c r="F43" s="17">
        <f t="shared" si="6"/>
        <v>9</v>
      </c>
      <c r="G43" s="236">
        <f t="shared" si="7"/>
        <v>1.2749999999999999E-3</v>
      </c>
      <c r="H43" s="8">
        <f t="shared" si="8"/>
        <v>1.4</v>
      </c>
      <c r="I43" s="8">
        <f t="shared" si="9"/>
        <v>1.87</v>
      </c>
    </row>
    <row r="44" spans="1:9" x14ac:dyDescent="0.2">
      <c r="A44" s="203">
        <v>37600</v>
      </c>
      <c r="B44" s="204" t="s">
        <v>401</v>
      </c>
      <c r="C44" s="6" t="s">
        <v>383</v>
      </c>
      <c r="D44" s="202">
        <v>41301</v>
      </c>
      <c r="E44" s="8">
        <v>135.75</v>
      </c>
      <c r="F44" s="17">
        <f t="shared" si="6"/>
        <v>9</v>
      </c>
      <c r="G44" s="236">
        <f t="shared" si="7"/>
        <v>1.2749999999999999E-3</v>
      </c>
      <c r="H44" s="8">
        <f t="shared" si="8"/>
        <v>1.56</v>
      </c>
      <c r="I44" s="8">
        <f t="shared" si="9"/>
        <v>2.08</v>
      </c>
    </row>
    <row r="45" spans="1:9" x14ac:dyDescent="0.2">
      <c r="A45" s="203">
        <v>37600</v>
      </c>
      <c r="B45" s="204" t="s">
        <v>402</v>
      </c>
      <c r="C45" s="6" t="s">
        <v>382</v>
      </c>
      <c r="D45" s="202">
        <v>41367</v>
      </c>
      <c r="E45" s="8">
        <v>1308.5099999999998</v>
      </c>
      <c r="F45" s="17">
        <f t="shared" si="6"/>
        <v>6</v>
      </c>
      <c r="G45" s="236">
        <f t="shared" si="7"/>
        <v>1.2749999999999999E-3</v>
      </c>
      <c r="H45" s="8">
        <f t="shared" si="8"/>
        <v>10.01</v>
      </c>
      <c r="I45" s="8">
        <f t="shared" si="9"/>
        <v>20.02</v>
      </c>
    </row>
    <row r="46" spans="1:9" x14ac:dyDescent="0.2">
      <c r="A46" s="203">
        <v>37600</v>
      </c>
      <c r="B46" s="204" t="s">
        <v>403</v>
      </c>
      <c r="C46" s="6" t="s">
        <v>381</v>
      </c>
      <c r="D46" s="202">
        <v>41367</v>
      </c>
      <c r="E46" s="8">
        <v>4056.8199999999997</v>
      </c>
      <c r="F46" s="17">
        <f t="shared" si="6"/>
        <v>6</v>
      </c>
      <c r="G46" s="236">
        <f t="shared" si="7"/>
        <v>1.2749999999999999E-3</v>
      </c>
      <c r="H46" s="8">
        <f t="shared" si="8"/>
        <v>31.03</v>
      </c>
      <c r="I46" s="8">
        <f t="shared" si="9"/>
        <v>62.07</v>
      </c>
    </row>
    <row r="47" spans="1:9" x14ac:dyDescent="0.2">
      <c r="A47" s="203">
        <v>37600</v>
      </c>
      <c r="B47" s="204" t="s">
        <v>404</v>
      </c>
      <c r="C47" s="6" t="s">
        <v>380</v>
      </c>
      <c r="D47" s="202">
        <v>41367</v>
      </c>
      <c r="E47" s="8">
        <v>692.4</v>
      </c>
      <c r="F47" s="17">
        <f t="shared" si="6"/>
        <v>6</v>
      </c>
      <c r="G47" s="236">
        <f t="shared" si="7"/>
        <v>1.2749999999999999E-3</v>
      </c>
      <c r="H47" s="8">
        <f t="shared" si="8"/>
        <v>5.3</v>
      </c>
      <c r="I47" s="8">
        <f t="shared" si="9"/>
        <v>10.59</v>
      </c>
    </row>
    <row r="48" spans="1:9" x14ac:dyDescent="0.2">
      <c r="A48" s="203">
        <v>37600</v>
      </c>
      <c r="B48" s="204" t="s">
        <v>405</v>
      </c>
      <c r="C48" s="6" t="s">
        <v>383</v>
      </c>
      <c r="D48" s="202">
        <v>41367</v>
      </c>
      <c r="E48" s="8">
        <v>2758.6499999999996</v>
      </c>
      <c r="F48" s="17">
        <f t="shared" si="6"/>
        <v>6</v>
      </c>
      <c r="G48" s="236">
        <f t="shared" si="7"/>
        <v>1.2749999999999999E-3</v>
      </c>
      <c r="H48" s="8">
        <f t="shared" si="8"/>
        <v>21.1</v>
      </c>
      <c r="I48" s="8">
        <f t="shared" si="9"/>
        <v>42.21</v>
      </c>
    </row>
    <row r="49" spans="1:9" x14ac:dyDescent="0.2">
      <c r="A49" s="203">
        <v>37600</v>
      </c>
      <c r="B49" s="204" t="s">
        <v>406</v>
      </c>
      <c r="C49" s="6" t="s">
        <v>382</v>
      </c>
      <c r="D49" s="202">
        <v>41428</v>
      </c>
      <c r="E49" s="8">
        <v>10476.16</v>
      </c>
      <c r="F49" s="17">
        <f t="shared" si="6"/>
        <v>4</v>
      </c>
      <c r="G49" s="236">
        <f t="shared" si="7"/>
        <v>1.2749999999999999E-3</v>
      </c>
      <c r="H49" s="8">
        <f t="shared" si="8"/>
        <v>53.43</v>
      </c>
      <c r="I49" s="8">
        <f t="shared" si="9"/>
        <v>160.29</v>
      </c>
    </row>
    <row r="50" spans="1:9" x14ac:dyDescent="0.2">
      <c r="A50" s="203">
        <v>37600</v>
      </c>
      <c r="B50" s="204" t="s">
        <v>407</v>
      </c>
      <c r="C50" s="6" t="s">
        <v>381</v>
      </c>
      <c r="D50" s="202">
        <v>41428</v>
      </c>
      <c r="E50" s="8">
        <v>3598.92</v>
      </c>
      <c r="F50" s="17">
        <f t="shared" si="6"/>
        <v>4</v>
      </c>
      <c r="G50" s="236">
        <f t="shared" si="7"/>
        <v>1.2749999999999999E-3</v>
      </c>
      <c r="H50" s="8">
        <f t="shared" ref="H50:H91" si="10">ROUND(E50*F50*G50,2)</f>
        <v>18.350000000000001</v>
      </c>
      <c r="I50" s="8">
        <f t="shared" ref="I50:I91" si="11">ROUND(E50*G50*12,2)</f>
        <v>55.06</v>
      </c>
    </row>
    <row r="51" spans="1:9" x14ac:dyDescent="0.2">
      <c r="A51" s="203">
        <v>37600</v>
      </c>
      <c r="B51" s="204" t="s">
        <v>408</v>
      </c>
      <c r="C51" s="6" t="s">
        <v>380</v>
      </c>
      <c r="D51" s="202">
        <v>41428</v>
      </c>
      <c r="E51" s="8">
        <v>3842.93</v>
      </c>
      <c r="F51" s="17">
        <f t="shared" si="6"/>
        <v>4</v>
      </c>
      <c r="G51" s="236">
        <f t="shared" si="7"/>
        <v>1.2749999999999999E-3</v>
      </c>
      <c r="H51" s="8">
        <f t="shared" si="10"/>
        <v>19.600000000000001</v>
      </c>
      <c r="I51" s="8">
        <f t="shared" si="11"/>
        <v>58.8</v>
      </c>
    </row>
    <row r="52" spans="1:9" x14ac:dyDescent="0.2">
      <c r="A52" s="203">
        <v>37600</v>
      </c>
      <c r="B52" s="204" t="s">
        <v>409</v>
      </c>
      <c r="C52" s="6" t="s">
        <v>383</v>
      </c>
      <c r="D52" s="202">
        <v>41428</v>
      </c>
      <c r="E52" s="8">
        <v>1277.42</v>
      </c>
      <c r="F52" s="17">
        <f t="shared" si="6"/>
        <v>4</v>
      </c>
      <c r="G52" s="236">
        <f t="shared" si="7"/>
        <v>1.2749999999999999E-3</v>
      </c>
      <c r="H52" s="8">
        <f t="shared" si="10"/>
        <v>6.51</v>
      </c>
      <c r="I52" s="8">
        <f t="shared" si="11"/>
        <v>19.54</v>
      </c>
    </row>
    <row r="53" spans="1:9" x14ac:dyDescent="0.2">
      <c r="A53" s="203">
        <v>37600</v>
      </c>
      <c r="B53" s="204" t="s">
        <v>410</v>
      </c>
      <c r="C53" s="6" t="s">
        <v>382</v>
      </c>
      <c r="D53" s="202">
        <v>41297</v>
      </c>
      <c r="E53" s="8">
        <v>2311.6499999999996</v>
      </c>
      <c r="F53" s="17">
        <f t="shared" si="6"/>
        <v>9</v>
      </c>
      <c r="G53" s="236">
        <f t="shared" si="7"/>
        <v>1.2749999999999999E-3</v>
      </c>
      <c r="H53" s="8">
        <f t="shared" si="10"/>
        <v>26.53</v>
      </c>
      <c r="I53" s="8">
        <f t="shared" si="11"/>
        <v>35.369999999999997</v>
      </c>
    </row>
    <row r="54" spans="1:9" x14ac:dyDescent="0.2">
      <c r="A54" s="203">
        <v>37600</v>
      </c>
      <c r="B54" s="204" t="s">
        <v>411</v>
      </c>
      <c r="C54" s="6" t="s">
        <v>381</v>
      </c>
      <c r="D54" s="202">
        <v>41297</v>
      </c>
      <c r="E54" s="8">
        <v>2271.75</v>
      </c>
      <c r="F54" s="17">
        <f t="shared" si="6"/>
        <v>9</v>
      </c>
      <c r="G54" s="236">
        <f t="shared" si="7"/>
        <v>1.2749999999999999E-3</v>
      </c>
      <c r="H54" s="8">
        <f t="shared" si="10"/>
        <v>26.07</v>
      </c>
      <c r="I54" s="8">
        <f t="shared" si="11"/>
        <v>34.76</v>
      </c>
    </row>
    <row r="55" spans="1:9" x14ac:dyDescent="0.2">
      <c r="A55" s="203">
        <v>37600</v>
      </c>
      <c r="B55" s="204" t="s">
        <v>412</v>
      </c>
      <c r="C55" s="6" t="s">
        <v>380</v>
      </c>
      <c r="D55" s="202">
        <v>41297</v>
      </c>
      <c r="E55" s="8">
        <v>4737.63</v>
      </c>
      <c r="F55" s="17">
        <f t="shared" si="6"/>
        <v>9</v>
      </c>
      <c r="G55" s="236">
        <f t="shared" si="7"/>
        <v>1.2749999999999999E-3</v>
      </c>
      <c r="H55" s="8">
        <f t="shared" si="10"/>
        <v>54.36</v>
      </c>
      <c r="I55" s="8">
        <f t="shared" si="11"/>
        <v>72.489999999999995</v>
      </c>
    </row>
    <row r="56" spans="1:9" x14ac:dyDescent="0.2">
      <c r="A56" s="203">
        <v>37600</v>
      </c>
      <c r="B56" s="204" t="s">
        <v>413</v>
      </c>
      <c r="C56" s="6" t="s">
        <v>383</v>
      </c>
      <c r="D56" s="202">
        <v>41297</v>
      </c>
      <c r="E56" s="8">
        <v>1720.6699999999998</v>
      </c>
      <c r="F56" s="17">
        <f t="shared" si="6"/>
        <v>9</v>
      </c>
      <c r="G56" s="236">
        <f t="shared" si="7"/>
        <v>1.2749999999999999E-3</v>
      </c>
      <c r="H56" s="8">
        <f t="shared" si="10"/>
        <v>19.739999999999998</v>
      </c>
      <c r="I56" s="8">
        <f t="shared" si="11"/>
        <v>26.33</v>
      </c>
    </row>
    <row r="57" spans="1:9" x14ac:dyDescent="0.2">
      <c r="A57" s="203">
        <v>37600</v>
      </c>
      <c r="B57" s="204" t="s">
        <v>414</v>
      </c>
      <c r="C57" s="6" t="s">
        <v>382</v>
      </c>
      <c r="D57" s="202">
        <v>41367</v>
      </c>
      <c r="E57" s="8">
        <v>8564.58</v>
      </c>
      <c r="F57" s="17">
        <f t="shared" si="6"/>
        <v>6</v>
      </c>
      <c r="G57" s="236">
        <f t="shared" si="7"/>
        <v>1.2749999999999999E-3</v>
      </c>
      <c r="H57" s="8">
        <f t="shared" si="10"/>
        <v>65.52</v>
      </c>
      <c r="I57" s="8">
        <f t="shared" si="11"/>
        <v>131.04</v>
      </c>
    </row>
    <row r="58" spans="1:9" x14ac:dyDescent="0.2">
      <c r="A58" s="203">
        <v>37600</v>
      </c>
      <c r="B58" s="204" t="s">
        <v>415</v>
      </c>
      <c r="C58" s="6" t="s">
        <v>381</v>
      </c>
      <c r="D58" s="202">
        <v>41367</v>
      </c>
      <c r="E58" s="8">
        <v>1476.38</v>
      </c>
      <c r="F58" s="17">
        <f t="shared" si="6"/>
        <v>6</v>
      </c>
      <c r="G58" s="236">
        <f t="shared" si="7"/>
        <v>1.2749999999999999E-3</v>
      </c>
      <c r="H58" s="8">
        <f t="shared" si="10"/>
        <v>11.29</v>
      </c>
      <c r="I58" s="8">
        <f t="shared" si="11"/>
        <v>22.59</v>
      </c>
    </row>
    <row r="59" spans="1:9" x14ac:dyDescent="0.2">
      <c r="A59" s="203">
        <v>37600</v>
      </c>
      <c r="B59" s="204" t="s">
        <v>416</v>
      </c>
      <c r="C59" s="6" t="s">
        <v>380</v>
      </c>
      <c r="D59" s="202">
        <v>41367</v>
      </c>
      <c r="E59" s="8">
        <v>1934.6100000000001</v>
      </c>
      <c r="F59" s="17">
        <f t="shared" si="6"/>
        <v>6</v>
      </c>
      <c r="G59" s="236">
        <f t="shared" si="7"/>
        <v>1.2749999999999999E-3</v>
      </c>
      <c r="H59" s="8">
        <f t="shared" si="10"/>
        <v>14.8</v>
      </c>
      <c r="I59" s="8">
        <f t="shared" si="11"/>
        <v>29.6</v>
      </c>
    </row>
    <row r="60" spans="1:9" x14ac:dyDescent="0.2">
      <c r="A60" s="203">
        <v>37600</v>
      </c>
      <c r="B60" s="204" t="s">
        <v>417</v>
      </c>
      <c r="C60" s="6" t="s">
        <v>383</v>
      </c>
      <c r="D60" s="202">
        <v>41367</v>
      </c>
      <c r="E60" s="8">
        <v>2949.68</v>
      </c>
      <c r="F60" s="17">
        <f t="shared" si="6"/>
        <v>6</v>
      </c>
      <c r="G60" s="236">
        <f t="shared" si="7"/>
        <v>1.2749999999999999E-3</v>
      </c>
      <c r="H60" s="8">
        <f t="shared" si="10"/>
        <v>22.57</v>
      </c>
      <c r="I60" s="8">
        <f t="shared" si="11"/>
        <v>45.13</v>
      </c>
    </row>
    <row r="61" spans="1:9" x14ac:dyDescent="0.2">
      <c r="A61" s="203">
        <v>37600</v>
      </c>
      <c r="B61" s="204" t="s">
        <v>418</v>
      </c>
      <c r="C61" s="6" t="s">
        <v>382</v>
      </c>
      <c r="D61" s="202">
        <v>41428</v>
      </c>
      <c r="E61" s="8">
        <v>6944.16</v>
      </c>
      <c r="F61" s="17">
        <f t="shared" si="6"/>
        <v>4</v>
      </c>
      <c r="G61" s="236">
        <f t="shared" si="7"/>
        <v>1.2749999999999999E-3</v>
      </c>
      <c r="H61" s="8">
        <f t="shared" si="10"/>
        <v>35.42</v>
      </c>
      <c r="I61" s="8">
        <f t="shared" si="11"/>
        <v>106.25</v>
      </c>
    </row>
    <row r="62" spans="1:9" x14ac:dyDescent="0.2">
      <c r="A62" s="203">
        <v>37600</v>
      </c>
      <c r="B62" s="204" t="s">
        <v>419</v>
      </c>
      <c r="C62" s="6" t="s">
        <v>380</v>
      </c>
      <c r="D62" s="202">
        <v>41428</v>
      </c>
      <c r="E62" s="8">
        <v>26495.879999999997</v>
      </c>
      <c r="F62" s="17">
        <f t="shared" si="6"/>
        <v>4</v>
      </c>
      <c r="G62" s="236">
        <f t="shared" si="7"/>
        <v>1.2749999999999999E-3</v>
      </c>
      <c r="H62" s="8">
        <f t="shared" si="10"/>
        <v>135.13</v>
      </c>
      <c r="I62" s="8">
        <f t="shared" si="11"/>
        <v>405.39</v>
      </c>
    </row>
    <row r="63" spans="1:9" x14ac:dyDescent="0.2">
      <c r="A63" s="203">
        <v>37600</v>
      </c>
      <c r="B63" s="204" t="s">
        <v>420</v>
      </c>
      <c r="C63" s="6" t="s">
        <v>383</v>
      </c>
      <c r="D63" s="202">
        <v>41428</v>
      </c>
      <c r="E63" s="8">
        <v>499.4</v>
      </c>
      <c r="F63" s="17">
        <f t="shared" si="6"/>
        <v>4</v>
      </c>
      <c r="G63" s="236">
        <f t="shared" si="7"/>
        <v>1.2749999999999999E-3</v>
      </c>
      <c r="H63" s="8">
        <f t="shared" si="10"/>
        <v>2.5499999999999998</v>
      </c>
      <c r="I63" s="8">
        <f t="shared" si="11"/>
        <v>7.64</v>
      </c>
    </row>
    <row r="64" spans="1:9" x14ac:dyDescent="0.2">
      <c r="A64" s="203">
        <v>37600</v>
      </c>
      <c r="B64" s="204" t="s">
        <v>421</v>
      </c>
      <c r="C64" s="6" t="s">
        <v>382</v>
      </c>
      <c r="D64" s="202">
        <v>41297</v>
      </c>
      <c r="E64" s="8">
        <v>1703.33</v>
      </c>
      <c r="F64" s="17">
        <f t="shared" si="6"/>
        <v>9</v>
      </c>
      <c r="G64" s="236">
        <f t="shared" si="7"/>
        <v>1.2749999999999999E-3</v>
      </c>
      <c r="H64" s="8">
        <f t="shared" si="10"/>
        <v>19.55</v>
      </c>
      <c r="I64" s="8">
        <f t="shared" si="11"/>
        <v>26.06</v>
      </c>
    </row>
    <row r="65" spans="1:9" x14ac:dyDescent="0.2">
      <c r="A65" s="203">
        <v>37600</v>
      </c>
      <c r="B65" s="204" t="s">
        <v>422</v>
      </c>
      <c r="C65" s="6" t="s">
        <v>381</v>
      </c>
      <c r="D65" s="202">
        <v>41297</v>
      </c>
      <c r="E65" s="8">
        <v>1878.29</v>
      </c>
      <c r="F65" s="17">
        <f t="shared" si="6"/>
        <v>9</v>
      </c>
      <c r="G65" s="236">
        <f t="shared" si="7"/>
        <v>1.2749999999999999E-3</v>
      </c>
      <c r="H65" s="8">
        <f t="shared" si="10"/>
        <v>21.55</v>
      </c>
      <c r="I65" s="8">
        <f t="shared" si="11"/>
        <v>28.74</v>
      </c>
    </row>
    <row r="66" spans="1:9" x14ac:dyDescent="0.2">
      <c r="A66" s="203">
        <v>37600</v>
      </c>
      <c r="B66" s="204" t="s">
        <v>423</v>
      </c>
      <c r="C66" s="6" t="s">
        <v>380</v>
      </c>
      <c r="D66" s="202">
        <v>41297</v>
      </c>
      <c r="E66" s="8">
        <v>515.86</v>
      </c>
      <c r="F66" s="17">
        <f t="shared" si="6"/>
        <v>9</v>
      </c>
      <c r="G66" s="236">
        <f t="shared" si="7"/>
        <v>1.2749999999999999E-3</v>
      </c>
      <c r="H66" s="8">
        <f t="shared" si="10"/>
        <v>5.92</v>
      </c>
      <c r="I66" s="8">
        <f t="shared" si="11"/>
        <v>7.89</v>
      </c>
    </row>
    <row r="67" spans="1:9" x14ac:dyDescent="0.2">
      <c r="A67" s="203">
        <v>37600</v>
      </c>
      <c r="B67" s="204" t="s">
        <v>424</v>
      </c>
      <c r="C67" s="6" t="s">
        <v>383</v>
      </c>
      <c r="D67" s="202">
        <v>41297</v>
      </c>
      <c r="E67" s="8">
        <v>350.48</v>
      </c>
      <c r="F67" s="17">
        <f t="shared" si="6"/>
        <v>9</v>
      </c>
      <c r="G67" s="236">
        <f t="shared" si="7"/>
        <v>1.2749999999999999E-3</v>
      </c>
      <c r="H67" s="8">
        <f t="shared" si="10"/>
        <v>4.0199999999999996</v>
      </c>
      <c r="I67" s="8">
        <f t="shared" si="11"/>
        <v>5.36</v>
      </c>
    </row>
    <row r="68" spans="1:9" x14ac:dyDescent="0.2">
      <c r="A68" s="203">
        <v>37600</v>
      </c>
      <c r="B68" s="204" t="s">
        <v>425</v>
      </c>
      <c r="C68" s="6" t="s">
        <v>449</v>
      </c>
      <c r="D68" s="202">
        <v>41297</v>
      </c>
      <c r="E68" s="8">
        <v>11301.330000000002</v>
      </c>
      <c r="F68" s="17">
        <f t="shared" si="6"/>
        <v>9</v>
      </c>
      <c r="G68" s="236">
        <f t="shared" si="7"/>
        <v>1.2749999999999999E-3</v>
      </c>
      <c r="H68" s="8">
        <f t="shared" si="10"/>
        <v>129.68</v>
      </c>
      <c r="I68" s="8">
        <f t="shared" si="11"/>
        <v>172.91</v>
      </c>
    </row>
    <row r="69" spans="1:9" x14ac:dyDescent="0.2">
      <c r="A69" s="203">
        <v>37600</v>
      </c>
      <c r="B69" s="204" t="s">
        <v>426</v>
      </c>
      <c r="C69" s="6" t="s">
        <v>382</v>
      </c>
      <c r="D69" s="202">
        <v>41367</v>
      </c>
      <c r="E69" s="8">
        <v>897.14</v>
      </c>
      <c r="F69" s="17">
        <f t="shared" si="6"/>
        <v>6</v>
      </c>
      <c r="G69" s="236">
        <f t="shared" si="7"/>
        <v>1.2749999999999999E-3</v>
      </c>
      <c r="H69" s="8">
        <f t="shared" si="10"/>
        <v>6.86</v>
      </c>
      <c r="I69" s="8">
        <f t="shared" si="11"/>
        <v>13.73</v>
      </c>
    </row>
    <row r="70" spans="1:9" x14ac:dyDescent="0.2">
      <c r="A70" s="203">
        <v>37600</v>
      </c>
      <c r="B70" s="204" t="s">
        <v>427</v>
      </c>
      <c r="C70" s="6" t="s">
        <v>381</v>
      </c>
      <c r="D70" s="202">
        <v>41367</v>
      </c>
      <c r="E70" s="8">
        <v>1774.8899999999996</v>
      </c>
      <c r="F70" s="17">
        <f t="shared" si="6"/>
        <v>6</v>
      </c>
      <c r="G70" s="236">
        <f t="shared" si="7"/>
        <v>1.2749999999999999E-3</v>
      </c>
      <c r="H70" s="8">
        <f t="shared" si="10"/>
        <v>13.58</v>
      </c>
      <c r="I70" s="8">
        <f t="shared" si="11"/>
        <v>27.16</v>
      </c>
    </row>
    <row r="71" spans="1:9" x14ac:dyDescent="0.2">
      <c r="A71" s="203">
        <v>37600</v>
      </c>
      <c r="B71" s="204" t="s">
        <v>428</v>
      </c>
      <c r="C71" s="6" t="s">
        <v>380</v>
      </c>
      <c r="D71" s="202">
        <v>41367</v>
      </c>
      <c r="E71" s="8">
        <v>514.47</v>
      </c>
      <c r="F71" s="17">
        <f t="shared" si="6"/>
        <v>6</v>
      </c>
      <c r="G71" s="236">
        <f t="shared" si="7"/>
        <v>1.2749999999999999E-3</v>
      </c>
      <c r="H71" s="8">
        <f t="shared" si="10"/>
        <v>3.94</v>
      </c>
      <c r="I71" s="8">
        <f t="shared" si="11"/>
        <v>7.87</v>
      </c>
    </row>
    <row r="72" spans="1:9" x14ac:dyDescent="0.2">
      <c r="A72" s="203">
        <v>37600</v>
      </c>
      <c r="B72" s="204" t="s">
        <v>429</v>
      </c>
      <c r="C72" s="6" t="s">
        <v>383</v>
      </c>
      <c r="D72" s="202">
        <v>41367</v>
      </c>
      <c r="E72" s="8">
        <v>1974.03</v>
      </c>
      <c r="F72" s="17">
        <f t="shared" si="6"/>
        <v>6</v>
      </c>
      <c r="G72" s="236">
        <f t="shared" si="7"/>
        <v>1.2749999999999999E-3</v>
      </c>
      <c r="H72" s="8">
        <f t="shared" si="10"/>
        <v>15.1</v>
      </c>
      <c r="I72" s="8">
        <f t="shared" si="11"/>
        <v>30.2</v>
      </c>
    </row>
    <row r="73" spans="1:9" x14ac:dyDescent="0.2">
      <c r="A73" s="203">
        <v>37600</v>
      </c>
      <c r="B73" s="204" t="s">
        <v>430</v>
      </c>
      <c r="C73" s="6" t="s">
        <v>382</v>
      </c>
      <c r="D73" s="202">
        <v>41428</v>
      </c>
      <c r="E73" s="8">
        <v>1498.1999999999998</v>
      </c>
      <c r="F73" s="17">
        <f t="shared" si="6"/>
        <v>4</v>
      </c>
      <c r="G73" s="236">
        <f t="shared" si="7"/>
        <v>1.2749999999999999E-3</v>
      </c>
      <c r="H73" s="8">
        <f t="shared" si="10"/>
        <v>7.64</v>
      </c>
      <c r="I73" s="8">
        <f t="shared" si="11"/>
        <v>22.92</v>
      </c>
    </row>
    <row r="74" spans="1:9" x14ac:dyDescent="0.2">
      <c r="A74" s="203">
        <v>37600</v>
      </c>
      <c r="B74" s="204" t="s">
        <v>431</v>
      </c>
      <c r="C74" s="6" t="s">
        <v>450</v>
      </c>
      <c r="D74" s="202">
        <v>41428</v>
      </c>
      <c r="E74" s="8">
        <v>3625.7599999999998</v>
      </c>
      <c r="F74" s="17">
        <f t="shared" si="6"/>
        <v>4</v>
      </c>
      <c r="G74" s="236">
        <f t="shared" si="7"/>
        <v>1.2749999999999999E-3</v>
      </c>
      <c r="H74" s="8">
        <f t="shared" si="10"/>
        <v>18.489999999999998</v>
      </c>
      <c r="I74" s="8">
        <f t="shared" si="11"/>
        <v>55.47</v>
      </c>
    </row>
    <row r="75" spans="1:9" x14ac:dyDescent="0.2">
      <c r="A75" s="203">
        <v>37600</v>
      </c>
      <c r="B75" s="204" t="s">
        <v>432</v>
      </c>
      <c r="C75" s="6" t="s">
        <v>380</v>
      </c>
      <c r="D75" s="202">
        <v>41428</v>
      </c>
      <c r="E75" s="8">
        <v>3442.71</v>
      </c>
      <c r="F75" s="17">
        <f t="shared" si="6"/>
        <v>4</v>
      </c>
      <c r="G75" s="236">
        <f t="shared" si="7"/>
        <v>1.2749999999999999E-3</v>
      </c>
      <c r="H75" s="8">
        <f t="shared" si="10"/>
        <v>17.559999999999999</v>
      </c>
      <c r="I75" s="8">
        <f t="shared" si="11"/>
        <v>52.67</v>
      </c>
    </row>
    <row r="76" spans="1:9" x14ac:dyDescent="0.2">
      <c r="A76" s="203">
        <v>37600</v>
      </c>
      <c r="B76" s="204" t="s">
        <v>433</v>
      </c>
      <c r="C76" s="6" t="s">
        <v>383</v>
      </c>
      <c r="D76" s="202">
        <v>41428</v>
      </c>
      <c r="E76" s="8">
        <v>1692.4399999999998</v>
      </c>
      <c r="F76" s="17">
        <f t="shared" si="6"/>
        <v>4</v>
      </c>
      <c r="G76" s="236">
        <f t="shared" si="7"/>
        <v>1.2749999999999999E-3</v>
      </c>
      <c r="H76" s="8">
        <f t="shared" si="10"/>
        <v>8.6300000000000008</v>
      </c>
      <c r="I76" s="8">
        <f t="shared" si="11"/>
        <v>25.89</v>
      </c>
    </row>
    <row r="77" spans="1:9" x14ac:dyDescent="0.2">
      <c r="A77" s="203">
        <v>37600</v>
      </c>
      <c r="B77" s="204" t="s">
        <v>434</v>
      </c>
      <c r="C77" s="6" t="s">
        <v>382</v>
      </c>
      <c r="D77" s="202">
        <v>41297</v>
      </c>
      <c r="E77" s="8">
        <v>2848.71</v>
      </c>
      <c r="F77" s="17">
        <f t="shared" si="6"/>
        <v>9</v>
      </c>
      <c r="G77" s="236">
        <f t="shared" si="7"/>
        <v>1.2749999999999999E-3</v>
      </c>
      <c r="H77" s="8">
        <f t="shared" si="10"/>
        <v>32.69</v>
      </c>
      <c r="I77" s="8">
        <f t="shared" si="11"/>
        <v>43.59</v>
      </c>
    </row>
    <row r="78" spans="1:9" x14ac:dyDescent="0.2">
      <c r="A78" s="203">
        <v>37600</v>
      </c>
      <c r="B78" s="204" t="s">
        <v>435</v>
      </c>
      <c r="C78" s="6" t="s">
        <v>381</v>
      </c>
      <c r="D78" s="202">
        <v>41297</v>
      </c>
      <c r="E78" s="8">
        <v>23862.939999999988</v>
      </c>
      <c r="F78" s="17">
        <f t="shared" si="6"/>
        <v>9</v>
      </c>
      <c r="G78" s="236">
        <f t="shared" si="7"/>
        <v>1.2749999999999999E-3</v>
      </c>
      <c r="H78" s="8">
        <f t="shared" si="10"/>
        <v>273.83</v>
      </c>
      <c r="I78" s="8">
        <f t="shared" si="11"/>
        <v>365.1</v>
      </c>
    </row>
    <row r="79" spans="1:9" x14ac:dyDescent="0.2">
      <c r="A79" s="203">
        <v>37600</v>
      </c>
      <c r="B79" s="204" t="s">
        <v>436</v>
      </c>
      <c r="C79" s="6" t="s">
        <v>380</v>
      </c>
      <c r="D79" s="202">
        <v>41297</v>
      </c>
      <c r="E79" s="8">
        <v>2962.0600000000018</v>
      </c>
      <c r="F79" s="17">
        <f t="shared" si="6"/>
        <v>9</v>
      </c>
      <c r="G79" s="236">
        <f t="shared" si="7"/>
        <v>1.2749999999999999E-3</v>
      </c>
      <c r="H79" s="8">
        <f t="shared" si="10"/>
        <v>33.99</v>
      </c>
      <c r="I79" s="8">
        <f t="shared" si="11"/>
        <v>45.32</v>
      </c>
    </row>
    <row r="80" spans="1:9" x14ac:dyDescent="0.2">
      <c r="A80" s="203">
        <v>37600</v>
      </c>
      <c r="B80" s="204" t="s">
        <v>437</v>
      </c>
      <c r="C80" s="6" t="s">
        <v>383</v>
      </c>
      <c r="D80" s="202">
        <v>41297</v>
      </c>
      <c r="E80" s="8">
        <v>243.81</v>
      </c>
      <c r="F80" s="17">
        <f t="shared" si="6"/>
        <v>9</v>
      </c>
      <c r="G80" s="236">
        <f t="shared" si="7"/>
        <v>1.2749999999999999E-3</v>
      </c>
      <c r="H80" s="8">
        <f t="shared" si="10"/>
        <v>2.8</v>
      </c>
      <c r="I80" s="8">
        <f t="shared" si="11"/>
        <v>3.73</v>
      </c>
    </row>
    <row r="81" spans="1:9" x14ac:dyDescent="0.2">
      <c r="A81" s="203">
        <v>37600</v>
      </c>
      <c r="B81" s="204" t="s">
        <v>438</v>
      </c>
      <c r="C81" s="6" t="s">
        <v>382</v>
      </c>
      <c r="D81" s="202">
        <v>41376</v>
      </c>
      <c r="E81" s="8">
        <v>4726.8600000000006</v>
      </c>
      <c r="F81" s="17">
        <f t="shared" si="6"/>
        <v>6</v>
      </c>
      <c r="G81" s="236">
        <f t="shared" si="7"/>
        <v>1.2749999999999999E-3</v>
      </c>
      <c r="H81" s="8">
        <f t="shared" si="10"/>
        <v>36.159999999999997</v>
      </c>
      <c r="I81" s="8">
        <f t="shared" si="11"/>
        <v>72.319999999999993</v>
      </c>
    </row>
    <row r="82" spans="1:9" x14ac:dyDescent="0.2">
      <c r="A82" s="203">
        <v>37600</v>
      </c>
      <c r="B82" s="204" t="s">
        <v>439</v>
      </c>
      <c r="C82" s="6" t="s">
        <v>381</v>
      </c>
      <c r="D82" s="202">
        <v>41379</v>
      </c>
      <c r="E82" s="8">
        <v>1341.4399999999998</v>
      </c>
      <c r="F82" s="17">
        <f t="shared" si="6"/>
        <v>6</v>
      </c>
      <c r="G82" s="236">
        <f t="shared" si="7"/>
        <v>1.2749999999999999E-3</v>
      </c>
      <c r="H82" s="8">
        <f t="shared" si="10"/>
        <v>10.26</v>
      </c>
      <c r="I82" s="8">
        <f t="shared" si="11"/>
        <v>20.52</v>
      </c>
    </row>
    <row r="83" spans="1:9" x14ac:dyDescent="0.2">
      <c r="A83" s="203">
        <v>37600</v>
      </c>
      <c r="B83" s="204" t="s">
        <v>440</v>
      </c>
      <c r="C83" s="6" t="s">
        <v>380</v>
      </c>
      <c r="D83" s="202">
        <v>41380</v>
      </c>
      <c r="E83" s="8">
        <v>4745.83</v>
      </c>
      <c r="F83" s="17">
        <f t="shared" si="6"/>
        <v>6</v>
      </c>
      <c r="G83" s="236">
        <f t="shared" si="7"/>
        <v>1.2749999999999999E-3</v>
      </c>
      <c r="H83" s="8">
        <f t="shared" si="10"/>
        <v>36.31</v>
      </c>
      <c r="I83" s="8">
        <f t="shared" si="11"/>
        <v>72.61</v>
      </c>
    </row>
    <row r="84" spans="1:9" x14ac:dyDescent="0.2">
      <c r="A84" s="203">
        <v>37600</v>
      </c>
      <c r="B84" s="204" t="s">
        <v>441</v>
      </c>
      <c r="C84" s="6" t="s">
        <v>383</v>
      </c>
      <c r="D84" s="202">
        <v>41381</v>
      </c>
      <c r="E84" s="8">
        <v>6037.1700000000019</v>
      </c>
      <c r="F84" s="17">
        <f t="shared" si="6"/>
        <v>6</v>
      </c>
      <c r="G84" s="236">
        <f t="shared" si="7"/>
        <v>1.2749999999999999E-3</v>
      </c>
      <c r="H84" s="8">
        <f t="shared" si="10"/>
        <v>46.18</v>
      </c>
      <c r="I84" s="8">
        <f t="shared" si="11"/>
        <v>92.37</v>
      </c>
    </row>
    <row r="85" spans="1:9" x14ac:dyDescent="0.2">
      <c r="A85" s="203">
        <v>37600</v>
      </c>
      <c r="B85" s="204" t="s">
        <v>442</v>
      </c>
      <c r="C85" s="6" t="s">
        <v>382</v>
      </c>
      <c r="D85" s="202">
        <v>41428</v>
      </c>
      <c r="E85" s="8">
        <v>2357.8399999999997</v>
      </c>
      <c r="F85" s="17">
        <f t="shared" si="6"/>
        <v>4</v>
      </c>
      <c r="G85" s="236">
        <f t="shared" si="7"/>
        <v>1.2749999999999999E-3</v>
      </c>
      <c r="H85" s="8">
        <f t="shared" si="10"/>
        <v>12.02</v>
      </c>
      <c r="I85" s="8">
        <f t="shared" si="11"/>
        <v>36.07</v>
      </c>
    </row>
    <row r="86" spans="1:9" x14ac:dyDescent="0.2">
      <c r="A86" s="203">
        <v>37600</v>
      </c>
      <c r="B86" s="204" t="s">
        <v>443</v>
      </c>
      <c r="C86" s="6" t="s">
        <v>450</v>
      </c>
      <c r="D86" s="202">
        <v>41428</v>
      </c>
      <c r="E86" s="8">
        <v>3339.3500000000004</v>
      </c>
      <c r="F86" s="17">
        <f t="shared" si="6"/>
        <v>4</v>
      </c>
      <c r="G86" s="236">
        <f t="shared" si="7"/>
        <v>1.2749999999999999E-3</v>
      </c>
      <c r="H86" s="8">
        <f t="shared" si="10"/>
        <v>17.03</v>
      </c>
      <c r="I86" s="8">
        <f t="shared" si="11"/>
        <v>51.09</v>
      </c>
    </row>
    <row r="87" spans="1:9" x14ac:dyDescent="0.2">
      <c r="A87" s="203">
        <v>37600</v>
      </c>
      <c r="B87" s="204" t="s">
        <v>444</v>
      </c>
      <c r="C87" s="6" t="s">
        <v>380</v>
      </c>
      <c r="D87" s="202">
        <v>41428</v>
      </c>
      <c r="E87" s="8">
        <v>6294.0899999999992</v>
      </c>
      <c r="F87" s="17">
        <f t="shared" si="6"/>
        <v>4</v>
      </c>
      <c r="G87" s="236">
        <f t="shared" si="7"/>
        <v>1.2749999999999999E-3</v>
      </c>
      <c r="H87" s="8">
        <f t="shared" si="10"/>
        <v>32.1</v>
      </c>
      <c r="I87" s="8">
        <f t="shared" si="11"/>
        <v>96.3</v>
      </c>
    </row>
    <row r="88" spans="1:9" x14ac:dyDescent="0.2">
      <c r="A88" s="203">
        <v>37600</v>
      </c>
      <c r="B88" s="204" t="s">
        <v>445</v>
      </c>
      <c r="C88" s="6" t="s">
        <v>383</v>
      </c>
      <c r="D88" s="202">
        <v>41428</v>
      </c>
      <c r="E88" s="8">
        <v>4024.47</v>
      </c>
      <c r="F88" s="17">
        <f t="shared" si="6"/>
        <v>4</v>
      </c>
      <c r="G88" s="236">
        <f t="shared" si="7"/>
        <v>1.2749999999999999E-3</v>
      </c>
      <c r="H88" s="8">
        <f t="shared" si="10"/>
        <v>20.52</v>
      </c>
      <c r="I88" s="8">
        <f t="shared" si="11"/>
        <v>61.57</v>
      </c>
    </row>
    <row r="89" spans="1:9" x14ac:dyDescent="0.2">
      <c r="A89" s="203">
        <v>37600</v>
      </c>
      <c r="B89" s="204" t="s">
        <v>446</v>
      </c>
      <c r="C89" s="6" t="s">
        <v>451</v>
      </c>
      <c r="D89" s="202">
        <v>41297</v>
      </c>
      <c r="E89" s="8">
        <v>17478.240000000002</v>
      </c>
      <c r="F89" s="17">
        <f t="shared" si="6"/>
        <v>9</v>
      </c>
      <c r="G89" s="236">
        <f t="shared" si="7"/>
        <v>1.2749999999999999E-3</v>
      </c>
      <c r="H89" s="8">
        <f t="shared" si="10"/>
        <v>200.56</v>
      </c>
      <c r="I89" s="8">
        <f t="shared" si="11"/>
        <v>267.42</v>
      </c>
    </row>
    <row r="90" spans="1:9" x14ac:dyDescent="0.2">
      <c r="A90" s="203">
        <v>37600</v>
      </c>
      <c r="B90" s="204" t="s">
        <v>447</v>
      </c>
      <c r="C90" s="6" t="s">
        <v>452</v>
      </c>
      <c r="D90" s="202">
        <v>41297</v>
      </c>
      <c r="E90" s="8">
        <v>365.71000000000004</v>
      </c>
      <c r="F90" s="17">
        <f t="shared" si="6"/>
        <v>9</v>
      </c>
      <c r="G90" s="236">
        <f t="shared" si="7"/>
        <v>1.2749999999999999E-3</v>
      </c>
      <c r="H90" s="8">
        <f t="shared" si="10"/>
        <v>4.2</v>
      </c>
      <c r="I90" s="8">
        <f t="shared" si="11"/>
        <v>5.6</v>
      </c>
    </row>
    <row r="91" spans="1:9" x14ac:dyDescent="0.2">
      <c r="A91" s="203">
        <v>37600</v>
      </c>
      <c r="B91" s="204" t="s">
        <v>448</v>
      </c>
      <c r="C91" s="6" t="s">
        <v>453</v>
      </c>
      <c r="D91" s="202">
        <v>41297</v>
      </c>
      <c r="E91" s="8">
        <v>15676.86</v>
      </c>
      <c r="F91" s="17">
        <f t="shared" si="6"/>
        <v>9</v>
      </c>
      <c r="G91" s="236">
        <f t="shared" si="7"/>
        <v>1.2749999999999999E-3</v>
      </c>
      <c r="H91" s="8">
        <f t="shared" si="10"/>
        <v>179.89</v>
      </c>
      <c r="I91" s="8">
        <f t="shared" si="11"/>
        <v>239.86</v>
      </c>
    </row>
    <row r="92" spans="1:9" x14ac:dyDescent="0.2">
      <c r="A92" s="203" t="s">
        <v>585</v>
      </c>
      <c r="B92" s="204" t="s">
        <v>184</v>
      </c>
      <c r="C92" s="6" t="s">
        <v>311</v>
      </c>
      <c r="D92" s="202">
        <v>41061</v>
      </c>
      <c r="E92" s="243">
        <v>-53.93</v>
      </c>
      <c r="F92" s="17">
        <f t="shared" si="6"/>
        <v>12</v>
      </c>
      <c r="G92" s="236">
        <f t="shared" si="7"/>
        <v>1.2749999999999999E-3</v>
      </c>
      <c r="H92" s="8">
        <f t="shared" ref="H92:H155" si="12">ROUND(E92*F92*G92,2)</f>
        <v>-0.83</v>
      </c>
      <c r="I92" s="8">
        <f t="shared" ref="I92:I155" si="13">ROUND(E92*G92*12,2)</f>
        <v>-0.83</v>
      </c>
    </row>
    <row r="93" spans="1:9" x14ac:dyDescent="0.2">
      <c r="A93" s="203" t="s">
        <v>585</v>
      </c>
      <c r="B93" s="204" t="s">
        <v>184</v>
      </c>
      <c r="C93" s="6" t="s">
        <v>311</v>
      </c>
      <c r="D93" s="202">
        <v>41091</v>
      </c>
      <c r="E93" s="243">
        <v>418.03</v>
      </c>
      <c r="F93" s="17">
        <f t="shared" si="6"/>
        <v>12</v>
      </c>
      <c r="G93" s="236">
        <f t="shared" si="7"/>
        <v>1.2749999999999999E-3</v>
      </c>
      <c r="H93" s="8">
        <f t="shared" si="12"/>
        <v>6.4</v>
      </c>
      <c r="I93" s="8">
        <f t="shared" si="13"/>
        <v>6.4</v>
      </c>
    </row>
    <row r="94" spans="1:9" x14ac:dyDescent="0.2">
      <c r="A94" s="203" t="s">
        <v>585</v>
      </c>
      <c r="B94" s="204" t="s">
        <v>185</v>
      </c>
      <c r="C94" s="6" t="s">
        <v>313</v>
      </c>
      <c r="D94" s="202">
        <v>41061</v>
      </c>
      <c r="E94" s="243">
        <v>923.72</v>
      </c>
      <c r="F94" s="17">
        <f t="shared" si="6"/>
        <v>12</v>
      </c>
      <c r="G94" s="236">
        <f t="shared" si="7"/>
        <v>1.2749999999999999E-3</v>
      </c>
      <c r="H94" s="8">
        <f t="shared" si="12"/>
        <v>14.13</v>
      </c>
      <c r="I94" s="8">
        <f t="shared" si="13"/>
        <v>14.13</v>
      </c>
    </row>
    <row r="95" spans="1:9" x14ac:dyDescent="0.2">
      <c r="A95" s="203" t="s">
        <v>585</v>
      </c>
      <c r="B95" s="204" t="s">
        <v>185</v>
      </c>
      <c r="C95" s="6" t="s">
        <v>313</v>
      </c>
      <c r="D95" s="202">
        <v>41091</v>
      </c>
      <c r="E95" s="243">
        <v>892.25</v>
      </c>
      <c r="F95" s="17">
        <f t="shared" si="6"/>
        <v>12</v>
      </c>
      <c r="G95" s="236">
        <f t="shared" si="7"/>
        <v>1.2749999999999999E-3</v>
      </c>
      <c r="H95" s="8">
        <f t="shared" si="12"/>
        <v>13.65</v>
      </c>
      <c r="I95" s="8">
        <f t="shared" si="13"/>
        <v>13.65</v>
      </c>
    </row>
    <row r="96" spans="1:9" x14ac:dyDescent="0.2">
      <c r="A96" s="203" t="s">
        <v>585</v>
      </c>
      <c r="B96" s="204" t="s">
        <v>186</v>
      </c>
      <c r="C96" s="6" t="s">
        <v>314</v>
      </c>
      <c r="D96" s="202">
        <v>41061</v>
      </c>
      <c r="E96" s="243">
        <v>303.05</v>
      </c>
      <c r="F96" s="17">
        <f t="shared" si="6"/>
        <v>12</v>
      </c>
      <c r="G96" s="236">
        <f t="shared" si="7"/>
        <v>1.2749999999999999E-3</v>
      </c>
      <c r="H96" s="8">
        <f t="shared" si="12"/>
        <v>4.6399999999999997</v>
      </c>
      <c r="I96" s="8">
        <f t="shared" si="13"/>
        <v>4.6399999999999997</v>
      </c>
    </row>
    <row r="97" spans="1:9" x14ac:dyDescent="0.2">
      <c r="A97" s="203" t="s">
        <v>585</v>
      </c>
      <c r="B97" s="204" t="s">
        <v>186</v>
      </c>
      <c r="C97" s="6" t="s">
        <v>314</v>
      </c>
      <c r="D97" s="202">
        <v>41091</v>
      </c>
      <c r="E97" s="243">
        <v>45.76</v>
      </c>
      <c r="F97" s="17">
        <f t="shared" si="6"/>
        <v>12</v>
      </c>
      <c r="G97" s="236">
        <f t="shared" si="7"/>
        <v>1.2749999999999999E-3</v>
      </c>
      <c r="H97" s="8">
        <f t="shared" si="12"/>
        <v>0.7</v>
      </c>
      <c r="I97" s="8">
        <f t="shared" si="13"/>
        <v>0.7</v>
      </c>
    </row>
    <row r="98" spans="1:9" x14ac:dyDescent="0.2">
      <c r="A98" s="203" t="s">
        <v>585</v>
      </c>
      <c r="B98" s="204" t="s">
        <v>187</v>
      </c>
      <c r="C98" s="6" t="s">
        <v>341</v>
      </c>
      <c r="D98" s="202">
        <v>41061</v>
      </c>
      <c r="E98" s="243">
        <v>261.04000000000002</v>
      </c>
      <c r="F98" s="17">
        <f t="shared" si="6"/>
        <v>12</v>
      </c>
      <c r="G98" s="236">
        <f t="shared" si="7"/>
        <v>1.2749999999999999E-3</v>
      </c>
      <c r="H98" s="8">
        <f t="shared" si="12"/>
        <v>3.99</v>
      </c>
      <c r="I98" s="8">
        <f t="shared" si="13"/>
        <v>3.99</v>
      </c>
    </row>
    <row r="99" spans="1:9" x14ac:dyDescent="0.2">
      <c r="A99" s="203" t="s">
        <v>585</v>
      </c>
      <c r="B99" s="204" t="s">
        <v>188</v>
      </c>
      <c r="C99" s="6" t="s">
        <v>344</v>
      </c>
      <c r="D99" s="202">
        <v>41061</v>
      </c>
      <c r="E99" s="243">
        <v>17.079999999999998</v>
      </c>
      <c r="F99" s="17">
        <f t="shared" si="6"/>
        <v>12</v>
      </c>
      <c r="G99" s="236">
        <f t="shared" si="7"/>
        <v>1.2749999999999999E-3</v>
      </c>
      <c r="H99" s="8">
        <f t="shared" si="12"/>
        <v>0.26</v>
      </c>
      <c r="I99" s="8">
        <f t="shared" si="13"/>
        <v>0.26</v>
      </c>
    </row>
    <row r="100" spans="1:9" x14ac:dyDescent="0.2">
      <c r="A100" s="203" t="s">
        <v>585</v>
      </c>
      <c r="B100" s="204" t="s">
        <v>189</v>
      </c>
      <c r="C100" s="6" t="s">
        <v>346</v>
      </c>
      <c r="D100" s="202">
        <v>41061</v>
      </c>
      <c r="E100" s="8">
        <v>11.23</v>
      </c>
      <c r="F100" s="17">
        <f t="shared" si="6"/>
        <v>12</v>
      </c>
      <c r="G100" s="236">
        <f t="shared" si="7"/>
        <v>1.2749999999999999E-3</v>
      </c>
      <c r="H100" s="8">
        <f t="shared" si="12"/>
        <v>0.17</v>
      </c>
      <c r="I100" s="8">
        <f t="shared" si="13"/>
        <v>0.17</v>
      </c>
    </row>
    <row r="101" spans="1:9" x14ac:dyDescent="0.2">
      <c r="A101" s="203" t="s">
        <v>585</v>
      </c>
      <c r="B101" s="204" t="s">
        <v>189</v>
      </c>
      <c r="C101" s="6" t="s">
        <v>346</v>
      </c>
      <c r="D101" s="202">
        <v>41091</v>
      </c>
      <c r="E101" s="8">
        <v>-1.36</v>
      </c>
      <c r="F101" s="17">
        <f t="shared" si="6"/>
        <v>12</v>
      </c>
      <c r="G101" s="236">
        <f t="shared" si="7"/>
        <v>1.2749999999999999E-3</v>
      </c>
      <c r="H101" s="8">
        <f t="shared" si="12"/>
        <v>-0.02</v>
      </c>
      <c r="I101" s="8">
        <f t="shared" si="13"/>
        <v>-0.02</v>
      </c>
    </row>
    <row r="102" spans="1:9" x14ac:dyDescent="0.2">
      <c r="A102" s="203" t="s">
        <v>586</v>
      </c>
      <c r="B102" s="204" t="s">
        <v>195</v>
      </c>
      <c r="C102" s="6" t="s">
        <v>286</v>
      </c>
      <c r="D102" s="202">
        <v>41061</v>
      </c>
      <c r="E102" s="8">
        <v>1122.03</v>
      </c>
      <c r="F102" s="17">
        <f t="shared" si="6"/>
        <v>12</v>
      </c>
      <c r="G102" s="236">
        <f t="shared" si="7"/>
        <v>1.2749999999999999E-3</v>
      </c>
      <c r="H102" s="8">
        <f t="shared" si="12"/>
        <v>17.170000000000002</v>
      </c>
      <c r="I102" s="8">
        <f t="shared" si="13"/>
        <v>17.170000000000002</v>
      </c>
    </row>
    <row r="103" spans="1:9" x14ac:dyDescent="0.2">
      <c r="A103" s="203" t="s">
        <v>586</v>
      </c>
      <c r="B103" s="204" t="s">
        <v>195</v>
      </c>
      <c r="C103" s="6" t="s">
        <v>286</v>
      </c>
      <c r="D103" s="202">
        <v>41091</v>
      </c>
      <c r="E103" s="243">
        <v>600.19000000000005</v>
      </c>
      <c r="F103" s="17">
        <f t="shared" si="6"/>
        <v>12</v>
      </c>
      <c r="G103" s="236">
        <f t="shared" si="7"/>
        <v>1.2749999999999999E-3</v>
      </c>
      <c r="H103" s="8">
        <f t="shared" si="12"/>
        <v>9.18</v>
      </c>
      <c r="I103" s="8">
        <f t="shared" si="13"/>
        <v>9.18</v>
      </c>
    </row>
    <row r="104" spans="1:9" x14ac:dyDescent="0.2">
      <c r="A104" s="203" t="s">
        <v>586</v>
      </c>
      <c r="B104" s="204" t="s">
        <v>184</v>
      </c>
      <c r="C104" s="6" t="s">
        <v>311</v>
      </c>
      <c r="D104" s="202">
        <v>41061</v>
      </c>
      <c r="E104" s="243">
        <v>-107.86</v>
      </c>
      <c r="F104" s="17">
        <f t="shared" si="6"/>
        <v>12</v>
      </c>
      <c r="G104" s="236">
        <f t="shared" si="7"/>
        <v>1.2749999999999999E-3</v>
      </c>
      <c r="H104" s="8">
        <f t="shared" si="12"/>
        <v>-1.65</v>
      </c>
      <c r="I104" s="8">
        <f t="shared" si="13"/>
        <v>-1.65</v>
      </c>
    </row>
    <row r="105" spans="1:9" x14ac:dyDescent="0.2">
      <c r="A105" s="203" t="s">
        <v>586</v>
      </c>
      <c r="B105" s="204" t="s">
        <v>184</v>
      </c>
      <c r="C105" s="6" t="s">
        <v>311</v>
      </c>
      <c r="D105" s="202">
        <v>41091</v>
      </c>
      <c r="E105" s="243">
        <v>836.02</v>
      </c>
      <c r="F105" s="17">
        <f t="shared" si="6"/>
        <v>12</v>
      </c>
      <c r="G105" s="236">
        <f t="shared" ref="G105:G168" si="14">0.0153/12</f>
        <v>1.2749999999999999E-3</v>
      </c>
      <c r="H105" s="8">
        <f t="shared" si="12"/>
        <v>12.79</v>
      </c>
      <c r="I105" s="8">
        <f t="shared" si="13"/>
        <v>12.79</v>
      </c>
    </row>
    <row r="106" spans="1:9" x14ac:dyDescent="0.2">
      <c r="A106" s="203" t="s">
        <v>586</v>
      </c>
      <c r="B106" s="204" t="s">
        <v>186</v>
      </c>
      <c r="C106" s="6" t="s">
        <v>314</v>
      </c>
      <c r="D106" s="202">
        <v>41061</v>
      </c>
      <c r="E106" s="243">
        <v>586.29</v>
      </c>
      <c r="F106" s="17">
        <f t="shared" si="6"/>
        <v>12</v>
      </c>
      <c r="G106" s="236">
        <f t="shared" si="14"/>
        <v>1.2749999999999999E-3</v>
      </c>
      <c r="H106" s="8">
        <f t="shared" si="12"/>
        <v>8.9700000000000006</v>
      </c>
      <c r="I106" s="8">
        <f t="shared" si="13"/>
        <v>8.9700000000000006</v>
      </c>
    </row>
    <row r="107" spans="1:9" x14ac:dyDescent="0.2">
      <c r="A107" s="203" t="s">
        <v>586</v>
      </c>
      <c r="B107" s="204" t="s">
        <v>186</v>
      </c>
      <c r="C107" s="6" t="s">
        <v>314</v>
      </c>
      <c r="D107" s="202">
        <v>41091</v>
      </c>
      <c r="E107" s="243">
        <v>88.57</v>
      </c>
      <c r="F107" s="17">
        <f t="shared" si="6"/>
        <v>12</v>
      </c>
      <c r="G107" s="236">
        <f t="shared" si="14"/>
        <v>1.2749999999999999E-3</v>
      </c>
      <c r="H107" s="8">
        <f t="shared" si="12"/>
        <v>1.36</v>
      </c>
      <c r="I107" s="8">
        <f t="shared" si="13"/>
        <v>1.36</v>
      </c>
    </row>
    <row r="108" spans="1:9" x14ac:dyDescent="0.2">
      <c r="A108" s="203" t="s">
        <v>586</v>
      </c>
      <c r="B108" s="204" t="s">
        <v>197</v>
      </c>
      <c r="C108" s="6" t="s">
        <v>315</v>
      </c>
      <c r="D108" s="202">
        <v>41091</v>
      </c>
      <c r="E108" s="243">
        <v>-2.33</v>
      </c>
      <c r="F108" s="17">
        <f t="shared" si="6"/>
        <v>12</v>
      </c>
      <c r="G108" s="236">
        <f t="shared" si="14"/>
        <v>1.2749999999999999E-3</v>
      </c>
      <c r="H108" s="8">
        <f t="shared" si="12"/>
        <v>-0.04</v>
      </c>
      <c r="I108" s="8">
        <f t="shared" si="13"/>
        <v>-0.04</v>
      </c>
    </row>
    <row r="109" spans="1:9" x14ac:dyDescent="0.2">
      <c r="A109" s="203" t="s">
        <v>586</v>
      </c>
      <c r="B109" s="204" t="s">
        <v>198</v>
      </c>
      <c r="C109" s="6" t="s">
        <v>317</v>
      </c>
      <c r="D109" s="202">
        <v>41061</v>
      </c>
      <c r="E109" s="243">
        <v>9483.73</v>
      </c>
      <c r="F109" s="17">
        <f t="shared" si="6"/>
        <v>12</v>
      </c>
      <c r="G109" s="236">
        <f t="shared" si="14"/>
        <v>1.2749999999999999E-3</v>
      </c>
      <c r="H109" s="8">
        <f t="shared" si="12"/>
        <v>145.1</v>
      </c>
      <c r="I109" s="8">
        <f t="shared" si="13"/>
        <v>145.1</v>
      </c>
    </row>
    <row r="110" spans="1:9" x14ac:dyDescent="0.2">
      <c r="A110" s="203" t="s">
        <v>586</v>
      </c>
      <c r="B110" s="204" t="s">
        <v>198</v>
      </c>
      <c r="C110" s="6" t="s">
        <v>317</v>
      </c>
      <c r="D110" s="202">
        <v>41091</v>
      </c>
      <c r="E110" s="243">
        <v>3584.7100000000005</v>
      </c>
      <c r="F110" s="17">
        <f t="shared" si="6"/>
        <v>12</v>
      </c>
      <c r="G110" s="236">
        <f t="shared" si="14"/>
        <v>1.2749999999999999E-3</v>
      </c>
      <c r="H110" s="8">
        <f t="shared" si="12"/>
        <v>54.85</v>
      </c>
      <c r="I110" s="8">
        <f t="shared" si="13"/>
        <v>54.85</v>
      </c>
    </row>
    <row r="111" spans="1:9" x14ac:dyDescent="0.2">
      <c r="A111" s="203" t="s">
        <v>586</v>
      </c>
      <c r="B111" s="204" t="s">
        <v>199</v>
      </c>
      <c r="C111" s="6" t="s">
        <v>319</v>
      </c>
      <c r="D111" s="202">
        <v>41061</v>
      </c>
      <c r="E111" s="243">
        <v>180.92</v>
      </c>
      <c r="F111" s="17">
        <f t="shared" si="6"/>
        <v>12</v>
      </c>
      <c r="G111" s="236">
        <f t="shared" si="14"/>
        <v>1.2749999999999999E-3</v>
      </c>
      <c r="H111" s="8">
        <f t="shared" si="12"/>
        <v>2.77</v>
      </c>
      <c r="I111" s="8">
        <f t="shared" si="13"/>
        <v>2.77</v>
      </c>
    </row>
    <row r="112" spans="1:9" x14ac:dyDescent="0.2">
      <c r="A112" s="203" t="s">
        <v>586</v>
      </c>
      <c r="B112" s="204" t="s">
        <v>199</v>
      </c>
      <c r="C112" s="6" t="s">
        <v>319</v>
      </c>
      <c r="D112" s="202">
        <v>41091</v>
      </c>
      <c r="E112" s="243">
        <v>44.08</v>
      </c>
      <c r="F112" s="17">
        <f t="shared" si="6"/>
        <v>12</v>
      </c>
      <c r="G112" s="236">
        <f t="shared" si="14"/>
        <v>1.2749999999999999E-3</v>
      </c>
      <c r="H112" s="8">
        <f t="shared" si="12"/>
        <v>0.67</v>
      </c>
      <c r="I112" s="8">
        <f t="shared" si="13"/>
        <v>0.67</v>
      </c>
    </row>
    <row r="113" spans="1:9" x14ac:dyDescent="0.2">
      <c r="A113" s="203" t="s">
        <v>586</v>
      </c>
      <c r="B113" s="204" t="s">
        <v>201</v>
      </c>
      <c r="C113" s="6" t="s">
        <v>343</v>
      </c>
      <c r="D113" s="202">
        <v>41061</v>
      </c>
      <c r="E113" s="243">
        <v>55.73</v>
      </c>
      <c r="F113" s="17">
        <f t="shared" si="6"/>
        <v>12</v>
      </c>
      <c r="G113" s="236">
        <f t="shared" si="14"/>
        <v>1.2749999999999999E-3</v>
      </c>
      <c r="H113" s="8">
        <f t="shared" si="12"/>
        <v>0.85</v>
      </c>
      <c r="I113" s="8">
        <f t="shared" si="13"/>
        <v>0.85</v>
      </c>
    </row>
    <row r="114" spans="1:9" x14ac:dyDescent="0.2">
      <c r="A114" s="203" t="s">
        <v>586</v>
      </c>
      <c r="B114" s="204" t="s">
        <v>188</v>
      </c>
      <c r="C114" s="6" t="s">
        <v>344</v>
      </c>
      <c r="D114" s="202">
        <v>41061</v>
      </c>
      <c r="E114" s="243">
        <v>273.29000000000002</v>
      </c>
      <c r="F114" s="17">
        <f t="shared" si="6"/>
        <v>12</v>
      </c>
      <c r="G114" s="236">
        <f t="shared" si="14"/>
        <v>1.2749999999999999E-3</v>
      </c>
      <c r="H114" s="8">
        <f t="shared" si="12"/>
        <v>4.18</v>
      </c>
      <c r="I114" s="8">
        <f t="shared" si="13"/>
        <v>4.18</v>
      </c>
    </row>
    <row r="115" spans="1:9" x14ac:dyDescent="0.2">
      <c r="A115" s="203" t="s">
        <v>587</v>
      </c>
      <c r="B115" s="204" t="s">
        <v>194</v>
      </c>
      <c r="C115" s="6" t="s">
        <v>284</v>
      </c>
      <c r="D115" s="202">
        <v>41061</v>
      </c>
      <c r="E115" s="243">
        <v>6243.36</v>
      </c>
      <c r="F115" s="17">
        <f t="shared" si="6"/>
        <v>12</v>
      </c>
      <c r="G115" s="236">
        <f t="shared" si="14"/>
        <v>1.2749999999999999E-3</v>
      </c>
      <c r="H115" s="8">
        <f t="shared" si="12"/>
        <v>95.52</v>
      </c>
      <c r="I115" s="8">
        <f t="shared" si="13"/>
        <v>95.52</v>
      </c>
    </row>
    <row r="116" spans="1:9" x14ac:dyDescent="0.2">
      <c r="A116" s="203" t="s">
        <v>587</v>
      </c>
      <c r="B116" s="204" t="s">
        <v>194</v>
      </c>
      <c r="C116" s="6" t="s">
        <v>284</v>
      </c>
      <c r="D116" s="202">
        <v>41091</v>
      </c>
      <c r="E116" s="243">
        <v>1378.77</v>
      </c>
      <c r="F116" s="17">
        <f t="shared" si="6"/>
        <v>12</v>
      </c>
      <c r="G116" s="236">
        <f t="shared" si="14"/>
        <v>1.2749999999999999E-3</v>
      </c>
      <c r="H116" s="8">
        <f t="shared" si="12"/>
        <v>21.1</v>
      </c>
      <c r="I116" s="8">
        <f t="shared" si="13"/>
        <v>21.1</v>
      </c>
    </row>
    <row r="117" spans="1:9" x14ac:dyDescent="0.2">
      <c r="A117" s="203" t="s">
        <v>587</v>
      </c>
      <c r="B117" s="204" t="s">
        <v>195</v>
      </c>
      <c r="C117" s="6" t="s">
        <v>286</v>
      </c>
      <c r="D117" s="202">
        <v>41061</v>
      </c>
      <c r="E117" s="243">
        <v>2133.2399999999998</v>
      </c>
      <c r="F117" s="17">
        <f t="shared" si="6"/>
        <v>12</v>
      </c>
      <c r="G117" s="236">
        <f t="shared" si="14"/>
        <v>1.2749999999999999E-3</v>
      </c>
      <c r="H117" s="8">
        <f t="shared" si="12"/>
        <v>32.64</v>
      </c>
      <c r="I117" s="8">
        <f t="shared" si="13"/>
        <v>32.64</v>
      </c>
    </row>
    <row r="118" spans="1:9" x14ac:dyDescent="0.2">
      <c r="A118" s="203" t="s">
        <v>587</v>
      </c>
      <c r="B118" s="204" t="s">
        <v>195</v>
      </c>
      <c r="C118" s="6" t="s">
        <v>286</v>
      </c>
      <c r="D118" s="202">
        <v>41091</v>
      </c>
      <c r="E118" s="8">
        <v>1141.1300000000001</v>
      </c>
      <c r="F118" s="17">
        <f t="shared" si="6"/>
        <v>12</v>
      </c>
      <c r="G118" s="236">
        <f t="shared" si="14"/>
        <v>1.2749999999999999E-3</v>
      </c>
      <c r="H118" s="8">
        <f t="shared" si="12"/>
        <v>17.46</v>
      </c>
      <c r="I118" s="8">
        <f t="shared" si="13"/>
        <v>17.46</v>
      </c>
    </row>
    <row r="119" spans="1:9" x14ac:dyDescent="0.2">
      <c r="A119" s="203" t="s">
        <v>587</v>
      </c>
      <c r="B119" s="204" t="s">
        <v>196</v>
      </c>
      <c r="C119" s="6" t="s">
        <v>287</v>
      </c>
      <c r="D119" s="202">
        <v>41061</v>
      </c>
      <c r="E119" s="8">
        <v>4219.53</v>
      </c>
      <c r="F119" s="17">
        <f t="shared" si="6"/>
        <v>12</v>
      </c>
      <c r="G119" s="236">
        <f t="shared" si="14"/>
        <v>1.2749999999999999E-3</v>
      </c>
      <c r="H119" s="8">
        <f t="shared" si="12"/>
        <v>64.56</v>
      </c>
      <c r="I119" s="8">
        <f t="shared" si="13"/>
        <v>64.56</v>
      </c>
    </row>
    <row r="120" spans="1:9" x14ac:dyDescent="0.2">
      <c r="A120" s="203" t="s">
        <v>587</v>
      </c>
      <c r="B120" s="204" t="s">
        <v>196</v>
      </c>
      <c r="C120" s="6" t="s">
        <v>287</v>
      </c>
      <c r="D120" s="202">
        <v>41091</v>
      </c>
      <c r="E120" s="8">
        <v>5346.65</v>
      </c>
      <c r="F120" s="17">
        <f t="shared" si="6"/>
        <v>12</v>
      </c>
      <c r="G120" s="236">
        <f t="shared" si="14"/>
        <v>1.2749999999999999E-3</v>
      </c>
      <c r="H120" s="8">
        <f t="shared" si="12"/>
        <v>81.8</v>
      </c>
      <c r="I120" s="8">
        <f t="shared" si="13"/>
        <v>81.8</v>
      </c>
    </row>
    <row r="121" spans="1:9" x14ac:dyDescent="0.2">
      <c r="A121" s="203" t="s">
        <v>587</v>
      </c>
      <c r="B121" s="204" t="s">
        <v>197</v>
      </c>
      <c r="C121" s="6" t="s">
        <v>315</v>
      </c>
      <c r="D121" s="202">
        <v>41061</v>
      </c>
      <c r="E121" s="8">
        <v>2728.73</v>
      </c>
      <c r="F121" s="17">
        <f t="shared" si="6"/>
        <v>12</v>
      </c>
      <c r="G121" s="236">
        <f t="shared" si="14"/>
        <v>1.2749999999999999E-3</v>
      </c>
      <c r="H121" s="8">
        <f t="shared" si="12"/>
        <v>41.75</v>
      </c>
      <c r="I121" s="8">
        <f t="shared" si="13"/>
        <v>41.75</v>
      </c>
    </row>
    <row r="122" spans="1:9" x14ac:dyDescent="0.2">
      <c r="A122" s="203" t="s">
        <v>587</v>
      </c>
      <c r="B122" s="204" t="s">
        <v>197</v>
      </c>
      <c r="C122" s="6" t="s">
        <v>315</v>
      </c>
      <c r="D122" s="202">
        <v>41091</v>
      </c>
      <c r="E122" s="8">
        <v>-2.34</v>
      </c>
      <c r="F122" s="17">
        <f t="shared" si="6"/>
        <v>12</v>
      </c>
      <c r="G122" s="236">
        <f t="shared" si="14"/>
        <v>1.2749999999999999E-3</v>
      </c>
      <c r="H122" s="8">
        <f t="shared" si="12"/>
        <v>-0.04</v>
      </c>
      <c r="I122" s="8">
        <f t="shared" si="13"/>
        <v>-0.04</v>
      </c>
    </row>
    <row r="123" spans="1:9" x14ac:dyDescent="0.2">
      <c r="A123" s="203" t="s">
        <v>587</v>
      </c>
      <c r="B123" s="204" t="s">
        <v>198</v>
      </c>
      <c r="C123" s="6" t="s">
        <v>317</v>
      </c>
      <c r="D123" s="202">
        <v>41061</v>
      </c>
      <c r="E123" s="8">
        <v>1515.22</v>
      </c>
      <c r="F123" s="17">
        <f t="shared" si="6"/>
        <v>12</v>
      </c>
      <c r="G123" s="236">
        <f t="shared" si="14"/>
        <v>1.2749999999999999E-3</v>
      </c>
      <c r="H123" s="8">
        <f t="shared" si="12"/>
        <v>23.18</v>
      </c>
      <c r="I123" s="8">
        <f t="shared" si="13"/>
        <v>23.18</v>
      </c>
    </row>
    <row r="124" spans="1:9" x14ac:dyDescent="0.2">
      <c r="A124" s="203" t="s">
        <v>587</v>
      </c>
      <c r="B124" s="204" t="s">
        <v>198</v>
      </c>
      <c r="C124" s="6" t="s">
        <v>317</v>
      </c>
      <c r="D124" s="202">
        <v>41091</v>
      </c>
      <c r="E124" s="243">
        <v>6288.39</v>
      </c>
      <c r="F124" s="17">
        <f t="shared" si="6"/>
        <v>12</v>
      </c>
      <c r="G124" s="236">
        <f t="shared" si="14"/>
        <v>1.2749999999999999E-3</v>
      </c>
      <c r="H124" s="8">
        <f t="shared" si="12"/>
        <v>96.21</v>
      </c>
      <c r="I124" s="8">
        <f t="shared" si="13"/>
        <v>96.21</v>
      </c>
    </row>
    <row r="125" spans="1:9" x14ac:dyDescent="0.2">
      <c r="A125" s="203" t="s">
        <v>587</v>
      </c>
      <c r="B125" s="204" t="s">
        <v>199</v>
      </c>
      <c r="C125" s="6" t="s">
        <v>319</v>
      </c>
      <c r="D125" s="202">
        <v>41061</v>
      </c>
      <c r="E125" s="243">
        <v>614.08000000000004</v>
      </c>
      <c r="F125" s="17">
        <f t="shared" si="6"/>
        <v>12</v>
      </c>
      <c r="G125" s="236">
        <f t="shared" si="14"/>
        <v>1.2749999999999999E-3</v>
      </c>
      <c r="H125" s="8">
        <f t="shared" si="12"/>
        <v>9.4</v>
      </c>
      <c r="I125" s="8">
        <f t="shared" si="13"/>
        <v>9.4</v>
      </c>
    </row>
    <row r="126" spans="1:9" x14ac:dyDescent="0.2">
      <c r="A126" s="203" t="s">
        <v>587</v>
      </c>
      <c r="B126" s="204" t="s">
        <v>199</v>
      </c>
      <c r="C126" s="6" t="s">
        <v>319</v>
      </c>
      <c r="D126" s="202">
        <v>41091</v>
      </c>
      <c r="E126" s="243">
        <v>22.07</v>
      </c>
      <c r="F126" s="17">
        <f t="shared" si="6"/>
        <v>12</v>
      </c>
      <c r="G126" s="236">
        <f t="shared" si="14"/>
        <v>1.2749999999999999E-3</v>
      </c>
      <c r="H126" s="8">
        <f t="shared" si="12"/>
        <v>0.34</v>
      </c>
      <c r="I126" s="8">
        <f t="shared" si="13"/>
        <v>0.34</v>
      </c>
    </row>
    <row r="127" spans="1:9" x14ac:dyDescent="0.2">
      <c r="A127" s="203" t="s">
        <v>587</v>
      </c>
      <c r="B127" s="204" t="s">
        <v>202</v>
      </c>
      <c r="C127" s="6" t="s">
        <v>345</v>
      </c>
      <c r="D127" s="202">
        <v>41061</v>
      </c>
      <c r="E127" s="243">
        <v>-1.97</v>
      </c>
      <c r="F127" s="17">
        <f t="shared" si="6"/>
        <v>12</v>
      </c>
      <c r="G127" s="236">
        <f t="shared" si="14"/>
        <v>1.2749999999999999E-3</v>
      </c>
      <c r="H127" s="8">
        <f t="shared" si="12"/>
        <v>-0.03</v>
      </c>
      <c r="I127" s="8">
        <f t="shared" si="13"/>
        <v>-0.03</v>
      </c>
    </row>
    <row r="128" spans="1:9" x14ac:dyDescent="0.2">
      <c r="A128" s="203" t="s">
        <v>587</v>
      </c>
      <c r="B128" s="204" t="s">
        <v>189</v>
      </c>
      <c r="C128" s="6" t="s">
        <v>346</v>
      </c>
      <c r="D128" s="202">
        <v>41061</v>
      </c>
      <c r="E128" s="243">
        <v>1518.26</v>
      </c>
      <c r="F128" s="17">
        <f t="shared" si="6"/>
        <v>12</v>
      </c>
      <c r="G128" s="236">
        <f t="shared" si="14"/>
        <v>1.2749999999999999E-3</v>
      </c>
      <c r="H128" s="8">
        <f t="shared" si="12"/>
        <v>23.23</v>
      </c>
      <c r="I128" s="8">
        <f t="shared" si="13"/>
        <v>23.23</v>
      </c>
    </row>
    <row r="129" spans="1:9" x14ac:dyDescent="0.2">
      <c r="A129" s="203" t="s">
        <v>587</v>
      </c>
      <c r="B129" s="204" t="s">
        <v>189</v>
      </c>
      <c r="C129" s="6" t="s">
        <v>346</v>
      </c>
      <c r="D129" s="202">
        <v>41091</v>
      </c>
      <c r="E129" s="243">
        <v>17.850000000000001</v>
      </c>
      <c r="F129" s="17">
        <f t="shared" si="6"/>
        <v>12</v>
      </c>
      <c r="G129" s="236">
        <f t="shared" si="14"/>
        <v>1.2749999999999999E-3</v>
      </c>
      <c r="H129" s="8">
        <f t="shared" si="12"/>
        <v>0.27</v>
      </c>
      <c r="I129" s="8">
        <f t="shared" si="13"/>
        <v>0.27</v>
      </c>
    </row>
    <row r="130" spans="1:9" x14ac:dyDescent="0.2">
      <c r="A130" s="203" t="s">
        <v>587</v>
      </c>
      <c r="B130" s="204" t="s">
        <v>566</v>
      </c>
      <c r="C130" s="6" t="s">
        <v>565</v>
      </c>
      <c r="D130" s="202">
        <v>41061</v>
      </c>
      <c r="E130" s="243">
        <v>195.31</v>
      </c>
      <c r="F130" s="17">
        <f t="shared" si="6"/>
        <v>12</v>
      </c>
      <c r="G130" s="236">
        <f t="shared" si="14"/>
        <v>1.2749999999999999E-3</v>
      </c>
      <c r="H130" s="8">
        <f t="shared" si="12"/>
        <v>2.99</v>
      </c>
      <c r="I130" s="8">
        <f t="shared" si="13"/>
        <v>2.99</v>
      </c>
    </row>
    <row r="131" spans="1:9" x14ac:dyDescent="0.2">
      <c r="A131" s="203" t="s">
        <v>587</v>
      </c>
      <c r="B131" s="204" t="s">
        <v>567</v>
      </c>
      <c r="C131" s="6" t="s">
        <v>557</v>
      </c>
      <c r="D131" s="202">
        <v>41061</v>
      </c>
      <c r="E131" s="243">
        <v>1993.88</v>
      </c>
      <c r="F131" s="17">
        <f t="shared" si="6"/>
        <v>12</v>
      </c>
      <c r="G131" s="236">
        <f t="shared" si="14"/>
        <v>1.2749999999999999E-3</v>
      </c>
      <c r="H131" s="8">
        <f t="shared" si="12"/>
        <v>30.51</v>
      </c>
      <c r="I131" s="8">
        <f t="shared" si="13"/>
        <v>30.51</v>
      </c>
    </row>
    <row r="132" spans="1:9" x14ac:dyDescent="0.2">
      <c r="A132" s="203" t="s">
        <v>587</v>
      </c>
      <c r="B132" s="204" t="s">
        <v>567</v>
      </c>
      <c r="C132" s="6" t="s">
        <v>557</v>
      </c>
      <c r="D132" s="202">
        <v>41091</v>
      </c>
      <c r="E132" s="243">
        <v>24.709999999999994</v>
      </c>
      <c r="F132" s="17">
        <f t="shared" si="6"/>
        <v>12</v>
      </c>
      <c r="G132" s="236">
        <f t="shared" si="14"/>
        <v>1.2749999999999999E-3</v>
      </c>
      <c r="H132" s="8">
        <f t="shared" si="12"/>
        <v>0.38</v>
      </c>
      <c r="I132" s="8">
        <f t="shared" si="13"/>
        <v>0.38</v>
      </c>
    </row>
    <row r="133" spans="1:9" x14ac:dyDescent="0.2">
      <c r="A133" s="203" t="s">
        <v>585</v>
      </c>
      <c r="B133" s="204" t="s">
        <v>184</v>
      </c>
      <c r="C133" s="6" t="s">
        <v>311</v>
      </c>
      <c r="D133" s="202">
        <v>41122</v>
      </c>
      <c r="E133" s="243">
        <v>-78.86</v>
      </c>
      <c r="F133" s="17">
        <f t="shared" si="6"/>
        <v>12</v>
      </c>
      <c r="G133" s="236">
        <f t="shared" si="14"/>
        <v>1.2749999999999999E-3</v>
      </c>
      <c r="H133" s="8">
        <f t="shared" si="12"/>
        <v>-1.21</v>
      </c>
      <c r="I133" s="8">
        <f t="shared" si="13"/>
        <v>-1.21</v>
      </c>
    </row>
    <row r="134" spans="1:9" x14ac:dyDescent="0.2">
      <c r="A134" s="203" t="s">
        <v>585</v>
      </c>
      <c r="B134" s="204" t="s">
        <v>184</v>
      </c>
      <c r="C134" s="6" t="s">
        <v>311</v>
      </c>
      <c r="D134" s="202">
        <v>41153</v>
      </c>
      <c r="E134" s="243">
        <v>1107.6400000000001</v>
      </c>
      <c r="F134" s="17">
        <f t="shared" si="6"/>
        <v>12</v>
      </c>
      <c r="G134" s="236">
        <f t="shared" si="14"/>
        <v>1.2749999999999999E-3</v>
      </c>
      <c r="H134" s="8">
        <f t="shared" si="12"/>
        <v>16.95</v>
      </c>
      <c r="I134" s="8">
        <f t="shared" si="13"/>
        <v>16.95</v>
      </c>
    </row>
    <row r="135" spans="1:9" x14ac:dyDescent="0.2">
      <c r="A135" s="203" t="s">
        <v>585</v>
      </c>
      <c r="B135" s="204" t="s">
        <v>184</v>
      </c>
      <c r="C135" s="6" t="s">
        <v>311</v>
      </c>
      <c r="D135" s="202">
        <v>41183</v>
      </c>
      <c r="E135" s="243">
        <v>394.32</v>
      </c>
      <c r="F135" s="17">
        <f t="shared" si="6"/>
        <v>12</v>
      </c>
      <c r="G135" s="236">
        <f t="shared" si="14"/>
        <v>1.2749999999999999E-3</v>
      </c>
      <c r="H135" s="8">
        <f t="shared" si="12"/>
        <v>6.03</v>
      </c>
      <c r="I135" s="8">
        <f t="shared" si="13"/>
        <v>6.03</v>
      </c>
    </row>
    <row r="136" spans="1:9" x14ac:dyDescent="0.2">
      <c r="A136" s="203" t="s">
        <v>585</v>
      </c>
      <c r="B136" s="204" t="s">
        <v>185</v>
      </c>
      <c r="C136" s="6" t="s">
        <v>313</v>
      </c>
      <c r="D136" s="202">
        <v>41122</v>
      </c>
      <c r="E136" s="243">
        <v>2718.21</v>
      </c>
      <c r="F136" s="17">
        <f t="shared" si="6"/>
        <v>12</v>
      </c>
      <c r="G136" s="236">
        <f t="shared" si="14"/>
        <v>1.2749999999999999E-3</v>
      </c>
      <c r="H136" s="8">
        <f t="shared" si="12"/>
        <v>41.59</v>
      </c>
      <c r="I136" s="8">
        <f t="shared" si="13"/>
        <v>41.59</v>
      </c>
    </row>
    <row r="137" spans="1:9" x14ac:dyDescent="0.2">
      <c r="A137" s="203" t="s">
        <v>585</v>
      </c>
      <c r="B137" s="204" t="s">
        <v>185</v>
      </c>
      <c r="C137" s="6" t="s">
        <v>313</v>
      </c>
      <c r="D137" s="202">
        <v>41153</v>
      </c>
      <c r="E137" s="243">
        <v>2387.33</v>
      </c>
      <c r="F137" s="17">
        <f t="shared" si="6"/>
        <v>12</v>
      </c>
      <c r="G137" s="236">
        <f t="shared" si="14"/>
        <v>1.2749999999999999E-3</v>
      </c>
      <c r="H137" s="8">
        <f t="shared" si="12"/>
        <v>36.53</v>
      </c>
      <c r="I137" s="8">
        <f t="shared" si="13"/>
        <v>36.53</v>
      </c>
    </row>
    <row r="138" spans="1:9" x14ac:dyDescent="0.2">
      <c r="A138" s="203" t="s">
        <v>585</v>
      </c>
      <c r="B138" s="204" t="s">
        <v>185</v>
      </c>
      <c r="C138" s="6" t="s">
        <v>313</v>
      </c>
      <c r="D138" s="202">
        <v>41183</v>
      </c>
      <c r="E138" s="243">
        <v>1402.96</v>
      </c>
      <c r="F138" s="17">
        <f t="shared" si="6"/>
        <v>12</v>
      </c>
      <c r="G138" s="236">
        <f t="shared" si="14"/>
        <v>1.2749999999999999E-3</v>
      </c>
      <c r="H138" s="8">
        <f t="shared" si="12"/>
        <v>21.47</v>
      </c>
      <c r="I138" s="8">
        <f t="shared" si="13"/>
        <v>21.47</v>
      </c>
    </row>
    <row r="139" spans="1:9" x14ac:dyDescent="0.2">
      <c r="A139" s="203" t="s">
        <v>585</v>
      </c>
      <c r="B139" s="204" t="s">
        <v>186</v>
      </c>
      <c r="C139" s="6" t="s">
        <v>314</v>
      </c>
      <c r="D139" s="202">
        <v>41122</v>
      </c>
      <c r="E139" s="243">
        <v>-3.22</v>
      </c>
      <c r="F139" s="17">
        <f t="shared" si="6"/>
        <v>12</v>
      </c>
      <c r="G139" s="236">
        <f t="shared" si="14"/>
        <v>1.2749999999999999E-3</v>
      </c>
      <c r="H139" s="8">
        <f t="shared" si="12"/>
        <v>-0.05</v>
      </c>
      <c r="I139" s="8">
        <f t="shared" si="13"/>
        <v>-0.05</v>
      </c>
    </row>
    <row r="140" spans="1:9" x14ac:dyDescent="0.2">
      <c r="A140" s="203" t="s">
        <v>585</v>
      </c>
      <c r="B140" s="204" t="s">
        <v>186</v>
      </c>
      <c r="C140" s="6" t="s">
        <v>314</v>
      </c>
      <c r="D140" s="202">
        <v>41153</v>
      </c>
      <c r="E140" s="243">
        <v>39.01</v>
      </c>
      <c r="F140" s="17">
        <f t="shared" si="6"/>
        <v>12</v>
      </c>
      <c r="G140" s="236">
        <f t="shared" si="14"/>
        <v>1.2749999999999999E-3</v>
      </c>
      <c r="H140" s="8">
        <f t="shared" si="12"/>
        <v>0.6</v>
      </c>
      <c r="I140" s="8">
        <f t="shared" si="13"/>
        <v>0.6</v>
      </c>
    </row>
    <row r="141" spans="1:9" x14ac:dyDescent="0.2">
      <c r="A141" s="203" t="s">
        <v>585</v>
      </c>
      <c r="B141" s="204" t="s">
        <v>186</v>
      </c>
      <c r="C141" s="6" t="s">
        <v>314</v>
      </c>
      <c r="D141" s="202">
        <v>41183</v>
      </c>
      <c r="E141" s="243">
        <v>313.65000000000003</v>
      </c>
      <c r="F141" s="17">
        <f t="shared" si="6"/>
        <v>12</v>
      </c>
      <c r="G141" s="236">
        <f t="shared" si="14"/>
        <v>1.2749999999999999E-3</v>
      </c>
      <c r="H141" s="8">
        <f t="shared" si="12"/>
        <v>4.8</v>
      </c>
      <c r="I141" s="8">
        <f t="shared" si="13"/>
        <v>4.8</v>
      </c>
    </row>
    <row r="142" spans="1:9" x14ac:dyDescent="0.2">
      <c r="A142" s="203" t="s">
        <v>585</v>
      </c>
      <c r="B142" s="204" t="s">
        <v>189</v>
      </c>
      <c r="C142" s="6" t="s">
        <v>346</v>
      </c>
      <c r="D142" s="202">
        <v>41153</v>
      </c>
      <c r="E142" s="243">
        <v>-21.16</v>
      </c>
      <c r="F142" s="17">
        <f t="shared" si="6"/>
        <v>12</v>
      </c>
      <c r="G142" s="236">
        <f t="shared" si="14"/>
        <v>1.2749999999999999E-3</v>
      </c>
      <c r="H142" s="8">
        <f t="shared" si="12"/>
        <v>-0.32</v>
      </c>
      <c r="I142" s="8">
        <f t="shared" si="13"/>
        <v>-0.32</v>
      </c>
    </row>
    <row r="143" spans="1:9" x14ac:dyDescent="0.2">
      <c r="A143" s="203" t="s">
        <v>586</v>
      </c>
      <c r="B143" s="204" t="s">
        <v>588</v>
      </c>
      <c r="C143" s="6" t="s">
        <v>272</v>
      </c>
      <c r="D143" s="202">
        <v>41153</v>
      </c>
      <c r="E143" s="8">
        <v>473.06</v>
      </c>
      <c r="F143" s="17">
        <f t="shared" si="6"/>
        <v>12</v>
      </c>
      <c r="G143" s="236">
        <f t="shared" si="14"/>
        <v>1.2749999999999999E-3</v>
      </c>
      <c r="H143" s="8">
        <f t="shared" si="12"/>
        <v>7.24</v>
      </c>
      <c r="I143" s="8">
        <f t="shared" si="13"/>
        <v>7.24</v>
      </c>
    </row>
    <row r="144" spans="1:9" x14ac:dyDescent="0.2">
      <c r="A144" s="203" t="s">
        <v>586</v>
      </c>
      <c r="B144" s="204" t="s">
        <v>191</v>
      </c>
      <c r="C144" s="6" t="s">
        <v>278</v>
      </c>
      <c r="D144" s="202">
        <v>41153</v>
      </c>
      <c r="E144" s="8">
        <v>1145.8</v>
      </c>
      <c r="F144" s="17">
        <f t="shared" si="6"/>
        <v>12</v>
      </c>
      <c r="G144" s="236">
        <f t="shared" si="14"/>
        <v>1.2749999999999999E-3</v>
      </c>
      <c r="H144" s="8">
        <f t="shared" si="12"/>
        <v>17.53</v>
      </c>
      <c r="I144" s="8">
        <f t="shared" si="13"/>
        <v>17.53</v>
      </c>
    </row>
    <row r="145" spans="1:9" x14ac:dyDescent="0.2">
      <c r="A145" s="203" t="s">
        <v>586</v>
      </c>
      <c r="B145" s="204" t="s">
        <v>195</v>
      </c>
      <c r="C145" s="6" t="s">
        <v>286</v>
      </c>
      <c r="D145" s="202">
        <v>41122</v>
      </c>
      <c r="E145" s="8">
        <v>141.21</v>
      </c>
      <c r="F145" s="17">
        <f t="shared" si="6"/>
        <v>12</v>
      </c>
      <c r="G145" s="236">
        <f t="shared" si="14"/>
        <v>1.2749999999999999E-3</v>
      </c>
      <c r="H145" s="8">
        <f t="shared" si="12"/>
        <v>2.16</v>
      </c>
      <c r="I145" s="8">
        <f t="shared" si="13"/>
        <v>2.16</v>
      </c>
    </row>
    <row r="146" spans="1:9" x14ac:dyDescent="0.2">
      <c r="A146" s="203" t="s">
        <v>586</v>
      </c>
      <c r="B146" s="190" t="s">
        <v>195</v>
      </c>
      <c r="C146" s="6" t="s">
        <v>286</v>
      </c>
      <c r="D146" s="202">
        <v>41153</v>
      </c>
      <c r="E146" s="8">
        <v>570.64</v>
      </c>
      <c r="F146" s="17">
        <f t="shared" si="6"/>
        <v>12</v>
      </c>
      <c r="G146" s="236">
        <f t="shared" si="14"/>
        <v>1.2749999999999999E-3</v>
      </c>
      <c r="H146" s="8">
        <f t="shared" si="12"/>
        <v>8.73</v>
      </c>
      <c r="I146" s="8">
        <f t="shared" si="13"/>
        <v>8.73</v>
      </c>
    </row>
    <row r="147" spans="1:9" x14ac:dyDescent="0.2">
      <c r="A147" s="203" t="s">
        <v>586</v>
      </c>
      <c r="B147" s="190" t="s">
        <v>195</v>
      </c>
      <c r="C147" s="6" t="s">
        <v>286</v>
      </c>
      <c r="D147" s="202">
        <v>41183</v>
      </c>
      <c r="E147" s="8">
        <v>46.93</v>
      </c>
      <c r="F147" s="17">
        <f t="shared" si="6"/>
        <v>12</v>
      </c>
      <c r="G147" s="236">
        <f t="shared" si="14"/>
        <v>1.2749999999999999E-3</v>
      </c>
      <c r="H147" s="8">
        <f t="shared" si="12"/>
        <v>0.72</v>
      </c>
      <c r="I147" s="8">
        <f t="shared" si="13"/>
        <v>0.72</v>
      </c>
    </row>
    <row r="148" spans="1:9" x14ac:dyDescent="0.2">
      <c r="A148" s="203" t="s">
        <v>586</v>
      </c>
      <c r="B148" s="190" t="s">
        <v>184</v>
      </c>
      <c r="C148" s="6" t="s">
        <v>311</v>
      </c>
      <c r="D148" s="202">
        <v>41122</v>
      </c>
      <c r="E148" s="8">
        <v>-157.71</v>
      </c>
      <c r="F148" s="17">
        <f t="shared" si="6"/>
        <v>12</v>
      </c>
      <c r="G148" s="236">
        <f t="shared" si="14"/>
        <v>1.2749999999999999E-3</v>
      </c>
      <c r="H148" s="8">
        <f t="shared" si="12"/>
        <v>-2.41</v>
      </c>
      <c r="I148" s="8">
        <f t="shared" si="13"/>
        <v>-2.41</v>
      </c>
    </row>
    <row r="149" spans="1:9" x14ac:dyDescent="0.2">
      <c r="A149" s="203" t="s">
        <v>586</v>
      </c>
      <c r="B149" s="190" t="s">
        <v>184</v>
      </c>
      <c r="C149" s="6" t="s">
        <v>311</v>
      </c>
      <c r="D149" s="202">
        <v>41153</v>
      </c>
      <c r="E149" s="8">
        <v>2215.27</v>
      </c>
      <c r="F149" s="17">
        <f t="shared" si="6"/>
        <v>12</v>
      </c>
      <c r="G149" s="236">
        <f t="shared" si="14"/>
        <v>1.2749999999999999E-3</v>
      </c>
      <c r="H149" s="8">
        <f t="shared" si="12"/>
        <v>33.89</v>
      </c>
      <c r="I149" s="8">
        <f t="shared" si="13"/>
        <v>33.89</v>
      </c>
    </row>
    <row r="150" spans="1:9" x14ac:dyDescent="0.2">
      <c r="A150" s="203" t="s">
        <v>586</v>
      </c>
      <c r="B150" s="190" t="s">
        <v>184</v>
      </c>
      <c r="C150" s="6" t="s">
        <v>311</v>
      </c>
      <c r="D150" s="202">
        <v>41183</v>
      </c>
      <c r="E150" s="243">
        <v>788.63</v>
      </c>
      <c r="F150" s="17">
        <f t="shared" si="6"/>
        <v>12</v>
      </c>
      <c r="G150" s="236">
        <f t="shared" si="14"/>
        <v>1.2749999999999999E-3</v>
      </c>
      <c r="H150" s="8">
        <f t="shared" si="12"/>
        <v>12.07</v>
      </c>
      <c r="I150" s="8">
        <f t="shared" si="13"/>
        <v>12.07</v>
      </c>
    </row>
    <row r="151" spans="1:9" x14ac:dyDescent="0.2">
      <c r="A151" s="203" t="s">
        <v>586</v>
      </c>
      <c r="B151" s="190" t="s">
        <v>186</v>
      </c>
      <c r="C151" s="6" t="s">
        <v>314</v>
      </c>
      <c r="D151" s="202">
        <v>41122</v>
      </c>
      <c r="E151" s="243">
        <v>-6.22</v>
      </c>
      <c r="F151" s="17">
        <f t="shared" si="6"/>
        <v>12</v>
      </c>
      <c r="G151" s="236">
        <f t="shared" si="14"/>
        <v>1.2749999999999999E-3</v>
      </c>
      <c r="H151" s="8">
        <f t="shared" si="12"/>
        <v>-0.1</v>
      </c>
      <c r="I151" s="8">
        <f t="shared" si="13"/>
        <v>-0.1</v>
      </c>
    </row>
    <row r="152" spans="1:9" x14ac:dyDescent="0.2">
      <c r="A152" s="203" t="s">
        <v>586</v>
      </c>
      <c r="B152" s="190" t="s">
        <v>186</v>
      </c>
      <c r="C152" s="6" t="s">
        <v>314</v>
      </c>
      <c r="D152" s="202">
        <v>41153</v>
      </c>
      <c r="E152" s="243">
        <v>75.489999999999995</v>
      </c>
      <c r="F152" s="17">
        <f t="shared" si="6"/>
        <v>12</v>
      </c>
      <c r="G152" s="236">
        <f t="shared" si="14"/>
        <v>1.2749999999999999E-3</v>
      </c>
      <c r="H152" s="8">
        <f t="shared" si="12"/>
        <v>1.1499999999999999</v>
      </c>
      <c r="I152" s="8">
        <f t="shared" si="13"/>
        <v>1.1499999999999999</v>
      </c>
    </row>
    <row r="153" spans="1:9" x14ac:dyDescent="0.2">
      <c r="A153" s="203" t="s">
        <v>586</v>
      </c>
      <c r="B153" s="190" t="s">
        <v>186</v>
      </c>
      <c r="C153" s="6" t="s">
        <v>314</v>
      </c>
      <c r="D153" s="202">
        <v>41183</v>
      </c>
      <c r="E153" s="243">
        <v>606.85</v>
      </c>
      <c r="F153" s="17">
        <f t="shared" si="6"/>
        <v>12</v>
      </c>
      <c r="G153" s="236">
        <f t="shared" si="14"/>
        <v>1.2749999999999999E-3</v>
      </c>
      <c r="H153" s="8">
        <f t="shared" si="12"/>
        <v>9.2799999999999994</v>
      </c>
      <c r="I153" s="8">
        <f t="shared" si="13"/>
        <v>9.2799999999999994</v>
      </c>
    </row>
    <row r="154" spans="1:9" x14ac:dyDescent="0.2">
      <c r="A154" s="203" t="s">
        <v>586</v>
      </c>
      <c r="B154" s="190" t="s">
        <v>197</v>
      </c>
      <c r="C154" s="6" t="s">
        <v>315</v>
      </c>
      <c r="D154" s="202">
        <v>41122</v>
      </c>
      <c r="E154" s="243">
        <v>457.82</v>
      </c>
      <c r="F154" s="17">
        <f t="shared" si="6"/>
        <v>12</v>
      </c>
      <c r="G154" s="236">
        <f t="shared" si="14"/>
        <v>1.2749999999999999E-3</v>
      </c>
      <c r="H154" s="8">
        <f t="shared" si="12"/>
        <v>7</v>
      </c>
      <c r="I154" s="8">
        <f t="shared" si="13"/>
        <v>7</v>
      </c>
    </row>
    <row r="155" spans="1:9" x14ac:dyDescent="0.2">
      <c r="A155" s="203" t="s">
        <v>586</v>
      </c>
      <c r="B155" s="190" t="s">
        <v>197</v>
      </c>
      <c r="C155" s="6" t="s">
        <v>315</v>
      </c>
      <c r="D155" s="202">
        <v>41153</v>
      </c>
      <c r="E155" s="8">
        <v>-507.98</v>
      </c>
      <c r="F155" s="17">
        <f t="shared" si="6"/>
        <v>12</v>
      </c>
      <c r="G155" s="236">
        <f t="shared" si="14"/>
        <v>1.2749999999999999E-3</v>
      </c>
      <c r="H155" s="8">
        <f t="shared" si="12"/>
        <v>-7.77</v>
      </c>
      <c r="I155" s="8">
        <f t="shared" si="13"/>
        <v>-7.77</v>
      </c>
    </row>
    <row r="156" spans="1:9" x14ac:dyDescent="0.2">
      <c r="A156" s="203" t="s">
        <v>586</v>
      </c>
      <c r="B156" s="6" t="s">
        <v>197</v>
      </c>
      <c r="C156" s="6" t="s">
        <v>315</v>
      </c>
      <c r="D156" s="202">
        <v>41183</v>
      </c>
      <c r="E156" s="8">
        <v>168.65</v>
      </c>
      <c r="F156" s="17">
        <f t="shared" si="6"/>
        <v>12</v>
      </c>
      <c r="G156" s="236">
        <f t="shared" si="14"/>
        <v>1.2749999999999999E-3</v>
      </c>
      <c r="H156" s="8">
        <f t="shared" ref="H156:H168" si="15">ROUND(E156*F156*G156,2)</f>
        <v>2.58</v>
      </c>
      <c r="I156" s="8">
        <f t="shared" ref="I156:I168" si="16">ROUND(E156*G156*12,2)</f>
        <v>2.58</v>
      </c>
    </row>
    <row r="157" spans="1:9" x14ac:dyDescent="0.2">
      <c r="A157" s="203" t="s">
        <v>586</v>
      </c>
      <c r="B157" s="6" t="s">
        <v>198</v>
      </c>
      <c r="C157" s="6" t="s">
        <v>317</v>
      </c>
      <c r="D157" s="202">
        <v>41122</v>
      </c>
      <c r="E157" s="8">
        <v>18476.66</v>
      </c>
      <c r="F157" s="17">
        <f t="shared" si="6"/>
        <v>12</v>
      </c>
      <c r="G157" s="236">
        <f t="shared" si="14"/>
        <v>1.2749999999999999E-3</v>
      </c>
      <c r="H157" s="8">
        <f t="shared" si="15"/>
        <v>282.69</v>
      </c>
      <c r="I157" s="8">
        <f t="shared" si="16"/>
        <v>282.69</v>
      </c>
    </row>
    <row r="158" spans="1:9" x14ac:dyDescent="0.2">
      <c r="A158" s="203" t="s">
        <v>586</v>
      </c>
      <c r="B158" s="6" t="s">
        <v>198</v>
      </c>
      <c r="C158" s="6" t="s">
        <v>317</v>
      </c>
      <c r="D158" s="202">
        <v>41153</v>
      </c>
      <c r="E158" s="8">
        <v>3844.59</v>
      </c>
      <c r="F158" s="17">
        <f t="shared" si="6"/>
        <v>12</v>
      </c>
      <c r="G158" s="236">
        <f t="shared" si="14"/>
        <v>1.2749999999999999E-3</v>
      </c>
      <c r="H158" s="8">
        <f t="shared" si="15"/>
        <v>58.82</v>
      </c>
      <c r="I158" s="8">
        <f t="shared" si="16"/>
        <v>58.82</v>
      </c>
    </row>
    <row r="159" spans="1:9" x14ac:dyDescent="0.2">
      <c r="A159" s="203" t="s">
        <v>586</v>
      </c>
      <c r="B159" s="6" t="s">
        <v>198</v>
      </c>
      <c r="C159" s="6" t="s">
        <v>317</v>
      </c>
      <c r="D159" s="202">
        <v>41183</v>
      </c>
      <c r="E159" s="8">
        <v>8757.66</v>
      </c>
      <c r="F159" s="17">
        <f t="shared" si="6"/>
        <v>12</v>
      </c>
      <c r="G159" s="236">
        <f t="shared" si="14"/>
        <v>1.2749999999999999E-3</v>
      </c>
      <c r="H159" s="8">
        <f t="shared" si="15"/>
        <v>133.99</v>
      </c>
      <c r="I159" s="8">
        <f t="shared" si="16"/>
        <v>133.99</v>
      </c>
    </row>
    <row r="160" spans="1:9" x14ac:dyDescent="0.2">
      <c r="A160" s="203" t="s">
        <v>586</v>
      </c>
      <c r="B160" s="6" t="s">
        <v>199</v>
      </c>
      <c r="C160" s="6" t="s">
        <v>319</v>
      </c>
      <c r="D160" s="202">
        <v>41122</v>
      </c>
      <c r="E160" s="8">
        <v>298.90000000000003</v>
      </c>
      <c r="F160" s="17">
        <f t="shared" si="6"/>
        <v>12</v>
      </c>
      <c r="G160" s="236">
        <f t="shared" si="14"/>
        <v>1.2749999999999999E-3</v>
      </c>
      <c r="H160" s="8">
        <f t="shared" si="15"/>
        <v>4.57</v>
      </c>
      <c r="I160" s="8">
        <f t="shared" si="16"/>
        <v>4.57</v>
      </c>
    </row>
    <row r="161" spans="1:9" x14ac:dyDescent="0.2">
      <c r="A161" s="203" t="s">
        <v>586</v>
      </c>
      <c r="B161" s="6" t="s">
        <v>199</v>
      </c>
      <c r="C161" s="6" t="s">
        <v>319</v>
      </c>
      <c r="D161" s="202">
        <v>41153</v>
      </c>
      <c r="E161" s="8">
        <v>-905.08</v>
      </c>
      <c r="F161" s="17">
        <f t="shared" si="6"/>
        <v>12</v>
      </c>
      <c r="G161" s="236">
        <f t="shared" si="14"/>
        <v>1.2749999999999999E-3</v>
      </c>
      <c r="H161" s="8">
        <f t="shared" si="15"/>
        <v>-13.85</v>
      </c>
      <c r="I161" s="8">
        <f t="shared" si="16"/>
        <v>-13.85</v>
      </c>
    </row>
    <row r="162" spans="1:9" x14ac:dyDescent="0.2">
      <c r="A162" s="203" t="s">
        <v>586</v>
      </c>
      <c r="B162" s="6" t="s">
        <v>199</v>
      </c>
      <c r="C162" s="6" t="s">
        <v>319</v>
      </c>
      <c r="D162" s="202">
        <v>41183</v>
      </c>
      <c r="E162" s="8">
        <v>160.26</v>
      </c>
      <c r="F162" s="17">
        <f t="shared" si="6"/>
        <v>12</v>
      </c>
      <c r="G162" s="236">
        <f t="shared" si="14"/>
        <v>1.2749999999999999E-3</v>
      </c>
      <c r="H162" s="8">
        <f t="shared" si="15"/>
        <v>2.4500000000000002</v>
      </c>
      <c r="I162" s="8">
        <f t="shared" si="16"/>
        <v>2.4500000000000002</v>
      </c>
    </row>
    <row r="163" spans="1:9" x14ac:dyDescent="0.2">
      <c r="A163" s="203" t="s">
        <v>586</v>
      </c>
      <c r="B163" s="6" t="s">
        <v>200</v>
      </c>
      <c r="C163" s="6" t="s">
        <v>320</v>
      </c>
      <c r="D163" s="202">
        <v>41183</v>
      </c>
      <c r="E163" s="8">
        <v>0</v>
      </c>
      <c r="F163" s="17">
        <f t="shared" si="6"/>
        <v>12</v>
      </c>
      <c r="G163" s="236">
        <f t="shared" si="14"/>
        <v>1.2749999999999999E-3</v>
      </c>
      <c r="H163" s="8">
        <f t="shared" si="15"/>
        <v>0</v>
      </c>
      <c r="I163" s="8">
        <f t="shared" si="16"/>
        <v>0</v>
      </c>
    </row>
    <row r="164" spans="1:9" x14ac:dyDescent="0.2">
      <c r="A164" s="203" t="s">
        <v>587</v>
      </c>
      <c r="B164" s="6" t="s">
        <v>589</v>
      </c>
      <c r="C164" s="6" t="s">
        <v>266</v>
      </c>
      <c r="D164" s="202">
        <v>41153</v>
      </c>
      <c r="E164" s="8">
        <v>733.96</v>
      </c>
      <c r="F164" s="17">
        <f t="shared" si="6"/>
        <v>12</v>
      </c>
      <c r="G164" s="236">
        <f t="shared" si="14"/>
        <v>1.2749999999999999E-3</v>
      </c>
      <c r="H164" s="8">
        <f t="shared" si="15"/>
        <v>11.23</v>
      </c>
      <c r="I164" s="8">
        <f t="shared" si="16"/>
        <v>11.23</v>
      </c>
    </row>
    <row r="165" spans="1:9" x14ac:dyDescent="0.2">
      <c r="A165" s="203" t="s">
        <v>587</v>
      </c>
      <c r="B165" s="6" t="s">
        <v>590</v>
      </c>
      <c r="C165" s="6" t="s">
        <v>270</v>
      </c>
      <c r="D165" s="202">
        <v>41153</v>
      </c>
      <c r="E165" s="8">
        <v>2217.81</v>
      </c>
      <c r="F165" s="17">
        <f t="shared" si="6"/>
        <v>12</v>
      </c>
      <c r="G165" s="236">
        <f t="shared" si="14"/>
        <v>1.2749999999999999E-3</v>
      </c>
      <c r="H165" s="8">
        <f t="shared" si="15"/>
        <v>33.93</v>
      </c>
      <c r="I165" s="8">
        <f t="shared" si="16"/>
        <v>33.93</v>
      </c>
    </row>
    <row r="166" spans="1:9" x14ac:dyDescent="0.2">
      <c r="A166" s="203" t="s">
        <v>587</v>
      </c>
      <c r="B166" s="6" t="s">
        <v>588</v>
      </c>
      <c r="C166" s="6" t="s">
        <v>272</v>
      </c>
      <c r="D166" s="202">
        <v>41153</v>
      </c>
      <c r="E166" s="8">
        <v>1605.58</v>
      </c>
      <c r="F166" s="17">
        <f t="shared" si="6"/>
        <v>12</v>
      </c>
      <c r="G166" s="236">
        <f t="shared" si="14"/>
        <v>1.2749999999999999E-3</v>
      </c>
      <c r="H166" s="8">
        <f t="shared" si="15"/>
        <v>24.57</v>
      </c>
      <c r="I166" s="8">
        <f t="shared" si="16"/>
        <v>24.57</v>
      </c>
    </row>
    <row r="167" spans="1:9" x14ac:dyDescent="0.2">
      <c r="A167" s="203" t="s">
        <v>587</v>
      </c>
      <c r="B167" s="6" t="s">
        <v>591</v>
      </c>
      <c r="C167" s="6" t="s">
        <v>273</v>
      </c>
      <c r="D167" s="202">
        <v>41153</v>
      </c>
      <c r="E167" s="8">
        <v>2460.71</v>
      </c>
      <c r="F167" s="17">
        <f t="shared" si="6"/>
        <v>12</v>
      </c>
      <c r="G167" s="236">
        <f t="shared" si="14"/>
        <v>1.2749999999999999E-3</v>
      </c>
      <c r="H167" s="8">
        <f t="shared" si="15"/>
        <v>37.65</v>
      </c>
      <c r="I167" s="8">
        <f t="shared" si="16"/>
        <v>37.65</v>
      </c>
    </row>
    <row r="168" spans="1:9" x14ac:dyDescent="0.2">
      <c r="A168" s="203" t="s">
        <v>587</v>
      </c>
      <c r="B168" s="6" t="s">
        <v>193</v>
      </c>
      <c r="C168" s="6" t="s">
        <v>281</v>
      </c>
      <c r="D168" s="202">
        <v>41153</v>
      </c>
      <c r="E168" s="8">
        <v>3238.7000000000003</v>
      </c>
      <c r="F168" s="17">
        <f t="shared" si="6"/>
        <v>12</v>
      </c>
      <c r="G168" s="236">
        <f t="shared" si="14"/>
        <v>1.2749999999999999E-3</v>
      </c>
      <c r="H168" s="8">
        <f t="shared" si="15"/>
        <v>49.55</v>
      </c>
      <c r="I168" s="8">
        <f t="shared" si="16"/>
        <v>49.55</v>
      </c>
    </row>
    <row r="169" spans="1:9" x14ac:dyDescent="0.2">
      <c r="A169" s="203" t="s">
        <v>587</v>
      </c>
      <c r="B169" s="6" t="s">
        <v>194</v>
      </c>
      <c r="C169" s="6" t="s">
        <v>284</v>
      </c>
      <c r="D169" s="202">
        <v>41122</v>
      </c>
      <c r="E169" s="8">
        <v>1694.79</v>
      </c>
      <c r="F169" s="17">
        <f t="shared" si="6"/>
        <v>12</v>
      </c>
      <c r="G169" s="236">
        <f t="shared" ref="G169:G192" si="17">0.0153/12</f>
        <v>1.2749999999999999E-3</v>
      </c>
      <c r="H169" s="8">
        <f t="shared" ref="H169:H192" si="18">ROUND(E169*F169*G169,2)</f>
        <v>25.93</v>
      </c>
      <c r="I169" s="8">
        <f t="shared" ref="I169:I192" si="19">ROUND(E169*G169*12,2)</f>
        <v>25.93</v>
      </c>
    </row>
    <row r="170" spans="1:9" x14ac:dyDescent="0.2">
      <c r="A170" s="203" t="s">
        <v>587</v>
      </c>
      <c r="B170" s="6" t="s">
        <v>194</v>
      </c>
      <c r="C170" s="6" t="s">
        <v>284</v>
      </c>
      <c r="D170" s="202">
        <v>41153</v>
      </c>
      <c r="E170" s="8">
        <v>1403.69</v>
      </c>
      <c r="F170" s="17">
        <f t="shared" si="6"/>
        <v>12</v>
      </c>
      <c r="G170" s="236">
        <f t="shared" si="17"/>
        <v>1.2749999999999999E-3</v>
      </c>
      <c r="H170" s="8">
        <f t="shared" si="18"/>
        <v>21.48</v>
      </c>
      <c r="I170" s="8">
        <f t="shared" si="19"/>
        <v>21.48</v>
      </c>
    </row>
    <row r="171" spans="1:9" x14ac:dyDescent="0.2">
      <c r="A171" s="203" t="s">
        <v>587</v>
      </c>
      <c r="B171" s="6" t="s">
        <v>194</v>
      </c>
      <c r="C171" s="6" t="s">
        <v>284</v>
      </c>
      <c r="D171" s="202">
        <v>41183</v>
      </c>
      <c r="E171" s="8">
        <v>1287.57</v>
      </c>
      <c r="F171" s="17">
        <f t="shared" si="6"/>
        <v>12</v>
      </c>
      <c r="G171" s="236">
        <f t="shared" si="17"/>
        <v>1.2749999999999999E-3</v>
      </c>
      <c r="H171" s="8">
        <f t="shared" si="18"/>
        <v>19.7</v>
      </c>
      <c r="I171" s="8">
        <f t="shared" si="19"/>
        <v>19.7</v>
      </c>
    </row>
    <row r="172" spans="1:9" x14ac:dyDescent="0.2">
      <c r="A172" s="203" t="s">
        <v>587</v>
      </c>
      <c r="B172" s="6" t="s">
        <v>195</v>
      </c>
      <c r="C172" s="6" t="s">
        <v>286</v>
      </c>
      <c r="D172" s="202">
        <v>41122</v>
      </c>
      <c r="E172" s="8">
        <v>268.48</v>
      </c>
      <c r="F172" s="17">
        <f t="shared" si="6"/>
        <v>12</v>
      </c>
      <c r="G172" s="236">
        <f t="shared" si="17"/>
        <v>1.2749999999999999E-3</v>
      </c>
      <c r="H172" s="8">
        <f t="shared" si="18"/>
        <v>4.1100000000000003</v>
      </c>
      <c r="I172" s="8">
        <f t="shared" si="19"/>
        <v>4.1100000000000003</v>
      </c>
    </row>
    <row r="173" spans="1:9" x14ac:dyDescent="0.2">
      <c r="A173" s="203" t="s">
        <v>587</v>
      </c>
      <c r="B173" s="6" t="s">
        <v>195</v>
      </c>
      <c r="C173" s="6" t="s">
        <v>286</v>
      </c>
      <c r="D173" s="202">
        <v>41153</v>
      </c>
      <c r="E173" s="8">
        <v>1084.92</v>
      </c>
      <c r="F173" s="17">
        <f t="shared" si="6"/>
        <v>12</v>
      </c>
      <c r="G173" s="236">
        <f t="shared" si="17"/>
        <v>1.2749999999999999E-3</v>
      </c>
      <c r="H173" s="8">
        <f t="shared" si="18"/>
        <v>16.600000000000001</v>
      </c>
      <c r="I173" s="8">
        <f t="shared" si="19"/>
        <v>16.600000000000001</v>
      </c>
    </row>
    <row r="174" spans="1:9" x14ac:dyDescent="0.2">
      <c r="A174" s="203" t="s">
        <v>587</v>
      </c>
      <c r="B174" s="6" t="s">
        <v>195</v>
      </c>
      <c r="C174" s="6" t="s">
        <v>286</v>
      </c>
      <c r="D174" s="202">
        <v>41183</v>
      </c>
      <c r="E174" s="8">
        <v>89.25</v>
      </c>
      <c r="F174" s="17">
        <f t="shared" si="6"/>
        <v>12</v>
      </c>
      <c r="G174" s="236">
        <f t="shared" si="17"/>
        <v>1.2749999999999999E-3</v>
      </c>
      <c r="H174" s="8">
        <f t="shared" si="18"/>
        <v>1.37</v>
      </c>
      <c r="I174" s="8">
        <f t="shared" si="19"/>
        <v>1.37</v>
      </c>
    </row>
    <row r="175" spans="1:9" x14ac:dyDescent="0.2">
      <c r="A175" s="203" t="s">
        <v>587</v>
      </c>
      <c r="B175" s="6" t="s">
        <v>196</v>
      </c>
      <c r="C175" s="6" t="s">
        <v>287</v>
      </c>
      <c r="D175" s="202">
        <v>41122</v>
      </c>
      <c r="E175" s="8">
        <v>466.93</v>
      </c>
      <c r="F175" s="17">
        <f t="shared" si="6"/>
        <v>12</v>
      </c>
      <c r="G175" s="236">
        <f t="shared" si="17"/>
        <v>1.2749999999999999E-3</v>
      </c>
      <c r="H175" s="8">
        <f t="shared" si="18"/>
        <v>7.14</v>
      </c>
      <c r="I175" s="8">
        <f t="shared" si="19"/>
        <v>7.14</v>
      </c>
    </row>
    <row r="176" spans="1:9" x14ac:dyDescent="0.2">
      <c r="A176" s="203" t="s">
        <v>587</v>
      </c>
      <c r="B176" s="6" t="s">
        <v>196</v>
      </c>
      <c r="C176" s="6" t="s">
        <v>287</v>
      </c>
      <c r="D176" s="202">
        <v>41153</v>
      </c>
      <c r="E176" s="8">
        <v>4984.49</v>
      </c>
      <c r="F176" s="17">
        <f t="shared" si="6"/>
        <v>12</v>
      </c>
      <c r="G176" s="236">
        <f t="shared" si="17"/>
        <v>1.2749999999999999E-3</v>
      </c>
      <c r="H176" s="8">
        <f t="shared" si="18"/>
        <v>76.260000000000005</v>
      </c>
      <c r="I176" s="8">
        <f t="shared" si="19"/>
        <v>76.260000000000005</v>
      </c>
    </row>
    <row r="177" spans="1:9" x14ac:dyDescent="0.2">
      <c r="A177" s="203" t="s">
        <v>587</v>
      </c>
      <c r="B177" s="6" t="s">
        <v>196</v>
      </c>
      <c r="C177" s="6" t="s">
        <v>287</v>
      </c>
      <c r="D177" s="202">
        <v>41183</v>
      </c>
      <c r="E177" s="8">
        <v>-1060.4100000000001</v>
      </c>
      <c r="F177" s="17">
        <f t="shared" si="6"/>
        <v>12</v>
      </c>
      <c r="G177" s="236">
        <f t="shared" si="17"/>
        <v>1.2749999999999999E-3</v>
      </c>
      <c r="H177" s="8">
        <f t="shared" si="18"/>
        <v>-16.22</v>
      </c>
      <c r="I177" s="8">
        <f t="shared" si="19"/>
        <v>-16.22</v>
      </c>
    </row>
    <row r="178" spans="1:9" x14ac:dyDescent="0.2">
      <c r="A178" s="203" t="s">
        <v>587</v>
      </c>
      <c r="B178" s="6" t="s">
        <v>197</v>
      </c>
      <c r="C178" s="6" t="s">
        <v>315</v>
      </c>
      <c r="D178" s="202">
        <v>41122</v>
      </c>
      <c r="E178" s="8">
        <v>457.83</v>
      </c>
      <c r="F178" s="17">
        <f t="shared" si="6"/>
        <v>12</v>
      </c>
      <c r="G178" s="236">
        <f t="shared" si="17"/>
        <v>1.2749999999999999E-3</v>
      </c>
      <c r="H178" s="8">
        <f t="shared" si="18"/>
        <v>7</v>
      </c>
      <c r="I178" s="8">
        <f t="shared" si="19"/>
        <v>7</v>
      </c>
    </row>
    <row r="179" spans="1:9" x14ac:dyDescent="0.2">
      <c r="A179" s="203" t="s">
        <v>587</v>
      </c>
      <c r="B179" s="6" t="s">
        <v>197</v>
      </c>
      <c r="C179" s="6" t="s">
        <v>315</v>
      </c>
      <c r="D179" s="202">
        <v>41153</v>
      </c>
      <c r="E179" s="8">
        <v>-507.96000000000004</v>
      </c>
      <c r="F179" s="17">
        <f t="shared" si="6"/>
        <v>12</v>
      </c>
      <c r="G179" s="236">
        <f t="shared" si="17"/>
        <v>1.2749999999999999E-3</v>
      </c>
      <c r="H179" s="8">
        <f t="shared" si="18"/>
        <v>-7.77</v>
      </c>
      <c r="I179" s="8">
        <f t="shared" si="19"/>
        <v>-7.77</v>
      </c>
    </row>
    <row r="180" spans="1:9" x14ac:dyDescent="0.2">
      <c r="A180" s="203" t="s">
        <v>587</v>
      </c>
      <c r="B180" s="6" t="s">
        <v>197</v>
      </c>
      <c r="C180" s="6" t="s">
        <v>315</v>
      </c>
      <c r="D180" s="202">
        <v>41183</v>
      </c>
      <c r="E180" s="8">
        <v>168.66</v>
      </c>
      <c r="F180" s="17">
        <f t="shared" si="6"/>
        <v>12</v>
      </c>
      <c r="G180" s="236">
        <f t="shared" si="17"/>
        <v>1.2749999999999999E-3</v>
      </c>
      <c r="H180" s="8">
        <f t="shared" si="18"/>
        <v>2.58</v>
      </c>
      <c r="I180" s="8">
        <f t="shared" si="19"/>
        <v>2.58</v>
      </c>
    </row>
    <row r="181" spans="1:9" x14ac:dyDescent="0.2">
      <c r="A181" s="203" t="s">
        <v>587</v>
      </c>
      <c r="B181" s="6" t="s">
        <v>198</v>
      </c>
      <c r="C181" s="6" t="s">
        <v>317</v>
      </c>
      <c r="D181" s="202">
        <v>41153</v>
      </c>
      <c r="E181" s="8">
        <v>771.73</v>
      </c>
      <c r="F181" s="17">
        <f t="shared" si="6"/>
        <v>12</v>
      </c>
      <c r="G181" s="236">
        <f t="shared" si="17"/>
        <v>1.2749999999999999E-3</v>
      </c>
      <c r="H181" s="8">
        <f t="shared" si="18"/>
        <v>11.81</v>
      </c>
      <c r="I181" s="8">
        <f t="shared" si="19"/>
        <v>11.81</v>
      </c>
    </row>
    <row r="182" spans="1:9" x14ac:dyDescent="0.2">
      <c r="A182" s="203" t="s">
        <v>587</v>
      </c>
      <c r="B182" s="6" t="s">
        <v>199</v>
      </c>
      <c r="C182" s="6" t="s">
        <v>319</v>
      </c>
      <c r="D182" s="202">
        <v>41122</v>
      </c>
      <c r="E182" s="8">
        <v>149.45000000000002</v>
      </c>
      <c r="F182" s="17">
        <f t="shared" si="6"/>
        <v>12</v>
      </c>
      <c r="G182" s="236">
        <f t="shared" si="17"/>
        <v>1.2749999999999999E-3</v>
      </c>
      <c r="H182" s="8">
        <f t="shared" si="18"/>
        <v>2.29</v>
      </c>
      <c r="I182" s="8">
        <f t="shared" si="19"/>
        <v>2.29</v>
      </c>
    </row>
    <row r="183" spans="1:9" x14ac:dyDescent="0.2">
      <c r="A183" s="203" t="s">
        <v>587</v>
      </c>
      <c r="B183" s="6" t="s">
        <v>199</v>
      </c>
      <c r="C183" s="6" t="s">
        <v>319</v>
      </c>
      <c r="D183" s="202">
        <v>41153</v>
      </c>
      <c r="E183" s="8">
        <v>-452.54</v>
      </c>
      <c r="F183" s="17">
        <f t="shared" si="6"/>
        <v>12</v>
      </c>
      <c r="G183" s="236">
        <f t="shared" si="17"/>
        <v>1.2749999999999999E-3</v>
      </c>
      <c r="H183" s="8">
        <f t="shared" si="18"/>
        <v>-6.92</v>
      </c>
      <c r="I183" s="8">
        <f t="shared" si="19"/>
        <v>-6.92</v>
      </c>
    </row>
    <row r="184" spans="1:9" x14ac:dyDescent="0.2">
      <c r="A184" s="203" t="s">
        <v>587</v>
      </c>
      <c r="B184" s="6" t="s">
        <v>199</v>
      </c>
      <c r="C184" s="6" t="s">
        <v>319</v>
      </c>
      <c r="D184" s="202">
        <v>41183</v>
      </c>
      <c r="E184" s="8">
        <v>80.16</v>
      </c>
      <c r="F184" s="17">
        <f t="shared" si="6"/>
        <v>12</v>
      </c>
      <c r="G184" s="236">
        <f t="shared" si="17"/>
        <v>1.2749999999999999E-3</v>
      </c>
      <c r="H184" s="8">
        <f t="shared" si="18"/>
        <v>1.23</v>
      </c>
      <c r="I184" s="8">
        <f t="shared" si="19"/>
        <v>1.23</v>
      </c>
    </row>
    <row r="185" spans="1:9" x14ac:dyDescent="0.2">
      <c r="A185" s="203" t="s">
        <v>587</v>
      </c>
      <c r="B185" s="6" t="s">
        <v>200</v>
      </c>
      <c r="C185" s="6" t="s">
        <v>320</v>
      </c>
      <c r="D185" s="202">
        <v>41153</v>
      </c>
      <c r="E185" s="8">
        <v>8369</v>
      </c>
      <c r="F185" s="17">
        <f t="shared" si="6"/>
        <v>12</v>
      </c>
      <c r="G185" s="236">
        <f t="shared" si="17"/>
        <v>1.2749999999999999E-3</v>
      </c>
      <c r="H185" s="8">
        <f t="shared" si="18"/>
        <v>128.05000000000001</v>
      </c>
      <c r="I185" s="8">
        <f t="shared" si="19"/>
        <v>128.05000000000001</v>
      </c>
    </row>
    <row r="186" spans="1:9" x14ac:dyDescent="0.2">
      <c r="A186" s="203" t="s">
        <v>587</v>
      </c>
      <c r="B186" s="6" t="s">
        <v>200</v>
      </c>
      <c r="C186" s="6" t="s">
        <v>320</v>
      </c>
      <c r="D186" s="202">
        <v>41183</v>
      </c>
      <c r="E186" s="8">
        <v>1235.8399999999999</v>
      </c>
      <c r="F186" s="17">
        <f t="shared" si="6"/>
        <v>12</v>
      </c>
      <c r="G186" s="236">
        <f t="shared" si="17"/>
        <v>1.2749999999999999E-3</v>
      </c>
      <c r="H186" s="8">
        <f t="shared" si="18"/>
        <v>18.91</v>
      </c>
      <c r="I186" s="8">
        <f t="shared" si="19"/>
        <v>18.91</v>
      </c>
    </row>
    <row r="187" spans="1:9" x14ac:dyDescent="0.2">
      <c r="A187" s="203" t="s">
        <v>587</v>
      </c>
      <c r="B187" s="6" t="s">
        <v>592</v>
      </c>
      <c r="C187" s="6" t="s">
        <v>560</v>
      </c>
      <c r="D187" s="202">
        <v>41153</v>
      </c>
      <c r="E187" s="8">
        <v>-1373.28</v>
      </c>
      <c r="F187" s="17">
        <f t="shared" si="6"/>
        <v>12</v>
      </c>
      <c r="G187" s="236">
        <f t="shared" si="17"/>
        <v>1.2749999999999999E-3</v>
      </c>
      <c r="H187" s="8">
        <f t="shared" si="18"/>
        <v>-21.01</v>
      </c>
      <c r="I187" s="8">
        <f t="shared" si="19"/>
        <v>-21.01</v>
      </c>
    </row>
    <row r="188" spans="1:9" x14ac:dyDescent="0.2">
      <c r="A188" s="203" t="s">
        <v>587</v>
      </c>
      <c r="B188" s="6" t="s">
        <v>189</v>
      </c>
      <c r="C188" s="6" t="s">
        <v>346</v>
      </c>
      <c r="D188" s="202">
        <v>41122</v>
      </c>
      <c r="E188" s="8">
        <v>-15.73</v>
      </c>
      <c r="F188" s="17">
        <f t="shared" si="6"/>
        <v>12</v>
      </c>
      <c r="G188" s="236">
        <f t="shared" si="17"/>
        <v>1.2749999999999999E-3</v>
      </c>
      <c r="H188" s="8">
        <f t="shared" si="18"/>
        <v>-0.24</v>
      </c>
      <c r="I188" s="8">
        <f t="shared" si="19"/>
        <v>-0.24</v>
      </c>
    </row>
    <row r="189" spans="1:9" x14ac:dyDescent="0.2">
      <c r="A189" s="203" t="s">
        <v>587</v>
      </c>
      <c r="B189" s="6" t="s">
        <v>567</v>
      </c>
      <c r="C189" s="6" t="s">
        <v>557</v>
      </c>
      <c r="D189" s="202">
        <v>41122</v>
      </c>
      <c r="E189" s="8">
        <v>-12.56</v>
      </c>
      <c r="F189" s="17">
        <f t="shared" si="6"/>
        <v>12</v>
      </c>
      <c r="G189" s="236">
        <f t="shared" si="17"/>
        <v>1.2749999999999999E-3</v>
      </c>
      <c r="H189" s="8">
        <f t="shared" si="18"/>
        <v>-0.19</v>
      </c>
      <c r="I189" s="8">
        <f t="shared" si="19"/>
        <v>-0.19</v>
      </c>
    </row>
    <row r="190" spans="1:9" x14ac:dyDescent="0.2">
      <c r="A190" s="203" t="s">
        <v>587</v>
      </c>
      <c r="B190" s="6" t="s">
        <v>567</v>
      </c>
      <c r="C190" s="6" t="s">
        <v>557</v>
      </c>
      <c r="D190" s="202">
        <v>41153</v>
      </c>
      <c r="E190" s="8">
        <v>-16.89</v>
      </c>
      <c r="F190" s="17">
        <f t="shared" si="6"/>
        <v>12</v>
      </c>
      <c r="G190" s="236">
        <f t="shared" si="17"/>
        <v>1.2749999999999999E-3</v>
      </c>
      <c r="H190" s="8">
        <f t="shared" si="18"/>
        <v>-0.26</v>
      </c>
      <c r="I190" s="8">
        <f t="shared" si="19"/>
        <v>-0.26</v>
      </c>
    </row>
    <row r="191" spans="1:9" x14ac:dyDescent="0.2">
      <c r="A191" s="203" t="s">
        <v>587</v>
      </c>
      <c r="B191" s="6" t="s">
        <v>593</v>
      </c>
      <c r="C191" s="6" t="s">
        <v>559</v>
      </c>
      <c r="D191" s="202">
        <v>41183</v>
      </c>
      <c r="E191" s="8">
        <v>1373.28</v>
      </c>
      <c r="F191" s="17">
        <f t="shared" si="6"/>
        <v>12</v>
      </c>
      <c r="G191" s="236">
        <f t="shared" si="17"/>
        <v>1.2749999999999999E-3</v>
      </c>
      <c r="H191" s="8">
        <f t="shared" si="18"/>
        <v>21.01</v>
      </c>
      <c r="I191" s="8">
        <f t="shared" si="19"/>
        <v>21.01</v>
      </c>
    </row>
    <row r="192" spans="1:9" x14ac:dyDescent="0.2">
      <c r="A192" s="203" t="s">
        <v>587</v>
      </c>
      <c r="B192" s="6" t="s">
        <v>594</v>
      </c>
      <c r="C192" s="6" t="s">
        <v>558</v>
      </c>
      <c r="D192" s="202">
        <v>41183</v>
      </c>
      <c r="E192" s="8">
        <v>-19.86</v>
      </c>
      <c r="F192" s="17">
        <f t="shared" si="6"/>
        <v>12</v>
      </c>
      <c r="G192" s="236">
        <f t="shared" si="17"/>
        <v>1.2749999999999999E-3</v>
      </c>
      <c r="H192" s="8">
        <f t="shared" si="18"/>
        <v>-0.3</v>
      </c>
      <c r="I192" s="8">
        <f t="shared" si="19"/>
        <v>-0.3</v>
      </c>
    </row>
    <row r="193" spans="1:9" x14ac:dyDescent="0.2">
      <c r="A193" s="3"/>
      <c r="B193" s="3"/>
      <c r="C193" s="3"/>
      <c r="D193" s="9"/>
      <c r="E193" s="182"/>
      <c r="F193" s="11"/>
      <c r="G193" s="161"/>
      <c r="H193" s="10"/>
      <c r="I193" s="10"/>
    </row>
    <row r="194" spans="1:9" ht="13.5" thickBot="1" x14ac:dyDescent="0.25">
      <c r="A194" s="3"/>
      <c r="B194" s="3"/>
      <c r="C194" s="12" t="s">
        <v>27</v>
      </c>
      <c r="D194" s="9"/>
      <c r="E194" s="244">
        <f>SUM(E41:E192)</f>
        <v>375623.61000000034</v>
      </c>
      <c r="F194" s="151"/>
      <c r="G194" s="162"/>
      <c r="H194" s="13">
        <f>SUM(H41:H192)</f>
        <v>4128.329999999999</v>
      </c>
      <c r="I194" s="13">
        <f>SUM(I41:I192)</f>
        <v>5747.0599999999968</v>
      </c>
    </row>
    <row r="195" spans="1:9" ht="13.5" thickTop="1" x14ac:dyDescent="0.2">
      <c r="A195" s="3"/>
      <c r="B195" s="3"/>
      <c r="C195" s="12"/>
      <c r="D195" s="9"/>
      <c r="E195" s="182"/>
      <c r="G195" s="162"/>
      <c r="H195" s="14"/>
      <c r="I195" s="14"/>
    </row>
    <row r="196" spans="1:9" x14ac:dyDescent="0.2">
      <c r="A196" s="3"/>
      <c r="B196" s="3"/>
      <c r="C196" s="3"/>
      <c r="D196" s="9"/>
      <c r="E196" s="182"/>
      <c r="F196" s="11"/>
      <c r="G196" s="161"/>
      <c r="H196" s="10"/>
      <c r="I196" s="10"/>
    </row>
    <row r="197" spans="1:9" x14ac:dyDescent="0.2">
      <c r="A197" s="2" t="s">
        <v>28</v>
      </c>
      <c r="B197" s="79"/>
      <c r="C197" s="79"/>
      <c r="D197" s="9"/>
      <c r="E197" s="182"/>
      <c r="F197" s="11"/>
      <c r="G197" s="161"/>
      <c r="H197" s="10"/>
      <c r="I197" s="10"/>
    </row>
    <row r="198" spans="1:9" x14ac:dyDescent="0.2">
      <c r="A198" s="3"/>
      <c r="B198" s="3"/>
      <c r="C198" s="3"/>
      <c r="D198" s="9"/>
      <c r="E198" s="182"/>
      <c r="F198" s="11"/>
      <c r="G198" s="161"/>
      <c r="H198" s="10"/>
      <c r="I198" s="10"/>
    </row>
    <row r="199" spans="1:9" x14ac:dyDescent="0.2">
      <c r="A199" s="205">
        <v>37600</v>
      </c>
      <c r="B199" s="190" t="s">
        <v>491</v>
      </c>
      <c r="C199" s="6" t="s">
        <v>382</v>
      </c>
      <c r="D199" s="56">
        <v>41297</v>
      </c>
      <c r="E199" s="167">
        <v>708.20999999999981</v>
      </c>
      <c r="F199" s="17">
        <f t="shared" ref="F199:F278" si="20">IF((YEAR($F$1)-YEAR($D199))*12+MONTH($F$1)-MONTH($D199)&gt;12,12,(YEAR($F$1)-YEAR($D199))*12+MONTH($F$1)-MONTH($D199))</f>
        <v>9</v>
      </c>
      <c r="G199" s="236">
        <f>0.0343/12</f>
        <v>2.858333333333333E-3</v>
      </c>
      <c r="H199" s="8">
        <f>ROUND(E199*F199*G199,2)</f>
        <v>18.22</v>
      </c>
      <c r="I199" s="8">
        <f>ROUND(E199*G199*12,2)</f>
        <v>24.29</v>
      </c>
    </row>
    <row r="200" spans="1:9" x14ac:dyDescent="0.2">
      <c r="A200" s="206">
        <v>37600</v>
      </c>
      <c r="B200" s="155" t="s">
        <v>492</v>
      </c>
      <c r="C200" s="6" t="s">
        <v>380</v>
      </c>
      <c r="D200" s="56">
        <v>41297</v>
      </c>
      <c r="E200" s="167">
        <v>164.10000000000002</v>
      </c>
      <c r="F200" s="17">
        <f t="shared" si="20"/>
        <v>9</v>
      </c>
      <c r="G200" s="236">
        <f t="shared" ref="G200:G263" si="21">0.0343/12</f>
        <v>2.858333333333333E-3</v>
      </c>
      <c r="H200" s="8">
        <f>ROUND(E200*F200*G200,2)</f>
        <v>4.22</v>
      </c>
      <c r="I200" s="8">
        <f>ROUND(E200*G200*12,2)</f>
        <v>5.63</v>
      </c>
    </row>
    <row r="201" spans="1:9" x14ac:dyDescent="0.2">
      <c r="A201" s="203">
        <v>37600</v>
      </c>
      <c r="B201" s="155" t="s">
        <v>493</v>
      </c>
      <c r="C201" s="6" t="s">
        <v>397</v>
      </c>
      <c r="D201" s="56">
        <v>41275</v>
      </c>
      <c r="E201" s="167">
        <v>337.19</v>
      </c>
      <c r="F201" s="17">
        <f t="shared" si="20"/>
        <v>9</v>
      </c>
      <c r="G201" s="236">
        <f t="shared" si="21"/>
        <v>2.858333333333333E-3</v>
      </c>
      <c r="H201" s="8">
        <f>ROUND(E201*F201*G201,2)</f>
        <v>8.67</v>
      </c>
      <c r="I201" s="8">
        <f>ROUND(E201*G201*12,2)</f>
        <v>11.57</v>
      </c>
    </row>
    <row r="202" spans="1:9" x14ac:dyDescent="0.2">
      <c r="A202" s="205">
        <v>37600</v>
      </c>
      <c r="B202" s="155" t="s">
        <v>494</v>
      </c>
      <c r="C202" s="6" t="s">
        <v>382</v>
      </c>
      <c r="D202" s="56">
        <v>41379</v>
      </c>
      <c r="E202" s="167">
        <v>2502.29</v>
      </c>
      <c r="F202" s="17">
        <f t="shared" si="20"/>
        <v>6</v>
      </c>
      <c r="G202" s="236">
        <f t="shared" si="21"/>
        <v>2.858333333333333E-3</v>
      </c>
      <c r="H202" s="8">
        <f>ROUND(E202*F202*G202,2)</f>
        <v>42.91</v>
      </c>
      <c r="I202" s="8">
        <f>ROUND(E202*G202*12,2)</f>
        <v>85.83</v>
      </c>
    </row>
    <row r="203" spans="1:9" x14ac:dyDescent="0.2">
      <c r="A203" s="206">
        <v>37600</v>
      </c>
      <c r="B203" s="155" t="s">
        <v>495</v>
      </c>
      <c r="C203" s="6" t="s">
        <v>380</v>
      </c>
      <c r="D203" s="56">
        <v>41379</v>
      </c>
      <c r="E203" s="167">
        <v>41.45</v>
      </c>
      <c r="F203" s="17">
        <f t="shared" si="20"/>
        <v>6</v>
      </c>
      <c r="G203" s="236">
        <f t="shared" si="21"/>
        <v>2.858333333333333E-3</v>
      </c>
      <c r="H203" s="8">
        <f>ROUND(E203*F203*G203,2)</f>
        <v>0.71</v>
      </c>
      <c r="I203" s="8">
        <f>ROUND(E203*G203*12,2)</f>
        <v>1.42</v>
      </c>
    </row>
    <row r="204" spans="1:9" x14ac:dyDescent="0.2">
      <c r="A204" s="206">
        <v>37600</v>
      </c>
      <c r="B204" s="155" t="s">
        <v>496</v>
      </c>
      <c r="C204" s="6" t="s">
        <v>383</v>
      </c>
      <c r="D204" s="56">
        <v>41379</v>
      </c>
      <c r="E204" s="167">
        <v>720.8900000000001</v>
      </c>
      <c r="F204" s="17">
        <f t="shared" si="20"/>
        <v>6</v>
      </c>
      <c r="G204" s="236">
        <f t="shared" si="21"/>
        <v>2.858333333333333E-3</v>
      </c>
      <c r="H204" s="8">
        <f t="shared" ref="H204:H232" si="22">ROUND(E204*F204*G204,2)</f>
        <v>12.36</v>
      </c>
      <c r="I204" s="8">
        <f t="shared" ref="I204:I232" si="23">ROUND(E204*G204*12,2)</f>
        <v>24.73</v>
      </c>
    </row>
    <row r="205" spans="1:9" x14ac:dyDescent="0.2">
      <c r="A205" s="206">
        <v>37600</v>
      </c>
      <c r="B205" s="155" t="s">
        <v>497</v>
      </c>
      <c r="C205" s="6" t="s">
        <v>397</v>
      </c>
      <c r="D205" s="56">
        <v>41379</v>
      </c>
      <c r="E205" s="167">
        <v>11895.81</v>
      </c>
      <c r="F205" s="17">
        <f t="shared" si="20"/>
        <v>6</v>
      </c>
      <c r="G205" s="236">
        <f t="shared" si="21"/>
        <v>2.858333333333333E-3</v>
      </c>
      <c r="H205" s="8">
        <f t="shared" si="22"/>
        <v>204.01</v>
      </c>
      <c r="I205" s="8">
        <f t="shared" si="23"/>
        <v>408.03</v>
      </c>
    </row>
    <row r="206" spans="1:9" x14ac:dyDescent="0.2">
      <c r="A206" s="206">
        <v>37600</v>
      </c>
      <c r="B206" s="155" t="s">
        <v>498</v>
      </c>
      <c r="C206" s="6" t="s">
        <v>382</v>
      </c>
      <c r="D206" s="56">
        <v>41428</v>
      </c>
      <c r="E206" s="167">
        <v>5613.8499999999985</v>
      </c>
      <c r="F206" s="17">
        <f t="shared" si="20"/>
        <v>4</v>
      </c>
      <c r="G206" s="236">
        <f t="shared" si="21"/>
        <v>2.858333333333333E-3</v>
      </c>
      <c r="H206" s="8">
        <f t="shared" si="22"/>
        <v>64.19</v>
      </c>
      <c r="I206" s="8">
        <f t="shared" si="23"/>
        <v>192.56</v>
      </c>
    </row>
    <row r="207" spans="1:9" x14ac:dyDescent="0.2">
      <c r="A207" s="206">
        <v>37600</v>
      </c>
      <c r="B207" s="155" t="s">
        <v>499</v>
      </c>
      <c r="C207" s="6" t="s">
        <v>380</v>
      </c>
      <c r="D207" s="56">
        <v>41428</v>
      </c>
      <c r="E207" s="167">
        <v>841.99</v>
      </c>
      <c r="F207" s="17">
        <f t="shared" si="20"/>
        <v>4</v>
      </c>
      <c r="G207" s="236">
        <f t="shared" si="21"/>
        <v>2.858333333333333E-3</v>
      </c>
      <c r="H207" s="8">
        <f t="shared" si="22"/>
        <v>9.6300000000000008</v>
      </c>
      <c r="I207" s="8">
        <f t="shared" si="23"/>
        <v>28.88</v>
      </c>
    </row>
    <row r="208" spans="1:9" x14ac:dyDescent="0.2">
      <c r="A208" s="206">
        <v>37600</v>
      </c>
      <c r="B208" s="155" t="s">
        <v>500</v>
      </c>
      <c r="C208" s="6" t="s">
        <v>383</v>
      </c>
      <c r="D208" s="56">
        <v>41428</v>
      </c>
      <c r="E208" s="167">
        <v>200.51000000000002</v>
      </c>
      <c r="F208" s="17">
        <f t="shared" si="20"/>
        <v>4</v>
      </c>
      <c r="G208" s="236">
        <f t="shared" si="21"/>
        <v>2.858333333333333E-3</v>
      </c>
      <c r="H208" s="8">
        <f t="shared" si="22"/>
        <v>2.29</v>
      </c>
      <c r="I208" s="8">
        <f t="shared" si="23"/>
        <v>6.88</v>
      </c>
    </row>
    <row r="209" spans="1:9" x14ac:dyDescent="0.2">
      <c r="A209" s="206">
        <v>37600</v>
      </c>
      <c r="B209" s="155" t="s">
        <v>501</v>
      </c>
      <c r="C209" s="6" t="s">
        <v>397</v>
      </c>
      <c r="D209" s="56">
        <v>41428</v>
      </c>
      <c r="E209" s="167">
        <v>4599.1500000000005</v>
      </c>
      <c r="F209" s="17">
        <f t="shared" si="20"/>
        <v>4</v>
      </c>
      <c r="G209" s="236">
        <f t="shared" si="21"/>
        <v>2.858333333333333E-3</v>
      </c>
      <c r="H209" s="8">
        <f t="shared" si="22"/>
        <v>52.58</v>
      </c>
      <c r="I209" s="8">
        <f t="shared" si="23"/>
        <v>157.75</v>
      </c>
    </row>
    <row r="210" spans="1:9" x14ac:dyDescent="0.2">
      <c r="A210" s="206">
        <v>37600</v>
      </c>
      <c r="B210" s="155" t="s">
        <v>502</v>
      </c>
      <c r="C210" s="6" t="s">
        <v>382</v>
      </c>
      <c r="D210" s="56">
        <v>41297</v>
      </c>
      <c r="E210" s="167">
        <v>1616.6999999999998</v>
      </c>
      <c r="F210" s="17">
        <f t="shared" si="20"/>
        <v>9</v>
      </c>
      <c r="G210" s="236">
        <f t="shared" si="21"/>
        <v>2.858333333333333E-3</v>
      </c>
      <c r="H210" s="8">
        <f t="shared" si="22"/>
        <v>41.59</v>
      </c>
      <c r="I210" s="8">
        <f t="shared" si="23"/>
        <v>55.45</v>
      </c>
    </row>
    <row r="211" spans="1:9" x14ac:dyDescent="0.2">
      <c r="A211" s="206">
        <v>37600</v>
      </c>
      <c r="B211" s="155" t="s">
        <v>503</v>
      </c>
      <c r="C211" s="6" t="s">
        <v>380</v>
      </c>
      <c r="D211" s="56">
        <v>41297</v>
      </c>
      <c r="E211" s="167">
        <v>3853.7100000000014</v>
      </c>
      <c r="F211" s="17">
        <f t="shared" si="20"/>
        <v>9</v>
      </c>
      <c r="G211" s="236">
        <f t="shared" si="21"/>
        <v>2.858333333333333E-3</v>
      </c>
      <c r="H211" s="8">
        <f t="shared" si="22"/>
        <v>99.14</v>
      </c>
      <c r="I211" s="8">
        <f t="shared" si="23"/>
        <v>132.18</v>
      </c>
    </row>
    <row r="212" spans="1:9" x14ac:dyDescent="0.2">
      <c r="A212" s="206">
        <v>37600</v>
      </c>
      <c r="B212" s="155" t="s">
        <v>504</v>
      </c>
      <c r="C212" s="6" t="s">
        <v>383</v>
      </c>
      <c r="D212" s="56">
        <v>41297</v>
      </c>
      <c r="E212" s="167">
        <v>100.06000000000003</v>
      </c>
      <c r="F212" s="17">
        <f t="shared" si="20"/>
        <v>9</v>
      </c>
      <c r="G212" s="236">
        <f t="shared" si="21"/>
        <v>2.858333333333333E-3</v>
      </c>
      <c r="H212" s="8">
        <f t="shared" si="22"/>
        <v>2.57</v>
      </c>
      <c r="I212" s="8">
        <f t="shared" si="23"/>
        <v>3.43</v>
      </c>
    </row>
    <row r="213" spans="1:9" x14ac:dyDescent="0.2">
      <c r="A213" s="206">
        <v>37600</v>
      </c>
      <c r="B213" s="155" t="s">
        <v>505</v>
      </c>
      <c r="C213" s="6" t="s">
        <v>397</v>
      </c>
      <c r="D213" s="56">
        <v>41297</v>
      </c>
      <c r="E213" s="167">
        <v>648.19000000000005</v>
      </c>
      <c r="F213" s="17">
        <f t="shared" si="20"/>
        <v>9</v>
      </c>
      <c r="G213" s="236">
        <f t="shared" si="21"/>
        <v>2.858333333333333E-3</v>
      </c>
      <c r="H213" s="8">
        <f t="shared" si="22"/>
        <v>16.670000000000002</v>
      </c>
      <c r="I213" s="8">
        <f t="shared" si="23"/>
        <v>22.23</v>
      </c>
    </row>
    <row r="214" spans="1:9" x14ac:dyDescent="0.2">
      <c r="A214" s="206">
        <v>37600</v>
      </c>
      <c r="B214" s="155" t="s">
        <v>506</v>
      </c>
      <c r="C214" s="6" t="s">
        <v>382</v>
      </c>
      <c r="D214" s="56">
        <v>41379</v>
      </c>
      <c r="E214" s="167">
        <v>6264.1199999999981</v>
      </c>
      <c r="F214" s="17">
        <f t="shared" si="20"/>
        <v>6</v>
      </c>
      <c r="G214" s="236">
        <f t="shared" si="21"/>
        <v>2.858333333333333E-3</v>
      </c>
      <c r="H214" s="8">
        <f t="shared" si="22"/>
        <v>107.43</v>
      </c>
      <c r="I214" s="8">
        <f t="shared" si="23"/>
        <v>214.86</v>
      </c>
    </row>
    <row r="215" spans="1:9" x14ac:dyDescent="0.2">
      <c r="A215" s="206">
        <v>37600</v>
      </c>
      <c r="B215" s="155" t="s">
        <v>507</v>
      </c>
      <c r="C215" s="6" t="s">
        <v>380</v>
      </c>
      <c r="D215" s="56">
        <v>41379</v>
      </c>
      <c r="E215" s="167">
        <v>15263.860000000002</v>
      </c>
      <c r="F215" s="17">
        <f t="shared" si="20"/>
        <v>6</v>
      </c>
      <c r="G215" s="236">
        <f t="shared" si="21"/>
        <v>2.858333333333333E-3</v>
      </c>
      <c r="H215" s="8">
        <f t="shared" si="22"/>
        <v>261.77999999999997</v>
      </c>
      <c r="I215" s="8">
        <f t="shared" si="23"/>
        <v>523.54999999999995</v>
      </c>
    </row>
    <row r="216" spans="1:9" x14ac:dyDescent="0.2">
      <c r="A216" s="206">
        <v>37600</v>
      </c>
      <c r="B216" s="155" t="s">
        <v>508</v>
      </c>
      <c r="C216" s="6" t="s">
        <v>383</v>
      </c>
      <c r="D216" s="56">
        <v>41379</v>
      </c>
      <c r="E216" s="167">
        <v>6362.25</v>
      </c>
      <c r="F216" s="17">
        <f t="shared" si="20"/>
        <v>6</v>
      </c>
      <c r="G216" s="236">
        <f t="shared" si="21"/>
        <v>2.858333333333333E-3</v>
      </c>
      <c r="H216" s="8">
        <f t="shared" si="22"/>
        <v>109.11</v>
      </c>
      <c r="I216" s="8">
        <f t="shared" si="23"/>
        <v>218.23</v>
      </c>
    </row>
    <row r="217" spans="1:9" x14ac:dyDescent="0.2">
      <c r="A217" s="206">
        <v>37600</v>
      </c>
      <c r="B217" s="155" t="s">
        <v>509</v>
      </c>
      <c r="C217" s="6" t="s">
        <v>397</v>
      </c>
      <c r="D217" s="56">
        <v>41379</v>
      </c>
      <c r="E217" s="167">
        <v>2099.5600000000004</v>
      </c>
      <c r="F217" s="17">
        <f t="shared" si="20"/>
        <v>6</v>
      </c>
      <c r="G217" s="236">
        <f t="shared" si="21"/>
        <v>2.858333333333333E-3</v>
      </c>
      <c r="H217" s="8">
        <f t="shared" si="22"/>
        <v>36.01</v>
      </c>
      <c r="I217" s="8">
        <f t="shared" si="23"/>
        <v>72.010000000000005</v>
      </c>
    </row>
    <row r="218" spans="1:9" x14ac:dyDescent="0.2">
      <c r="A218" s="206">
        <v>37600</v>
      </c>
      <c r="B218" s="155" t="s">
        <v>510</v>
      </c>
      <c r="C218" s="6" t="s">
        <v>382</v>
      </c>
      <c r="D218" s="56">
        <v>41427</v>
      </c>
      <c r="E218" s="167">
        <v>4531.1499999999996</v>
      </c>
      <c r="F218" s="17">
        <f t="shared" si="20"/>
        <v>4</v>
      </c>
      <c r="G218" s="236">
        <f t="shared" si="21"/>
        <v>2.858333333333333E-3</v>
      </c>
      <c r="H218" s="8">
        <f t="shared" si="22"/>
        <v>51.81</v>
      </c>
      <c r="I218" s="8">
        <f t="shared" si="23"/>
        <v>155.41999999999999</v>
      </c>
    </row>
    <row r="219" spans="1:9" x14ac:dyDescent="0.2">
      <c r="A219" s="206">
        <v>37600</v>
      </c>
      <c r="B219" s="155" t="s">
        <v>511</v>
      </c>
      <c r="C219" s="6" t="s">
        <v>380</v>
      </c>
      <c r="D219" s="56">
        <v>41431</v>
      </c>
      <c r="E219" s="167">
        <v>6881.5400000000009</v>
      </c>
      <c r="F219" s="17">
        <f t="shared" si="20"/>
        <v>4</v>
      </c>
      <c r="G219" s="236">
        <f t="shared" si="21"/>
        <v>2.858333333333333E-3</v>
      </c>
      <c r="H219" s="8">
        <f t="shared" si="22"/>
        <v>78.680000000000007</v>
      </c>
      <c r="I219" s="8">
        <f t="shared" si="23"/>
        <v>236.04</v>
      </c>
    </row>
    <row r="220" spans="1:9" x14ac:dyDescent="0.2">
      <c r="A220" s="206">
        <v>37600</v>
      </c>
      <c r="B220" s="155" t="s">
        <v>512</v>
      </c>
      <c r="C220" s="6" t="s">
        <v>383</v>
      </c>
      <c r="D220" s="56">
        <v>41432</v>
      </c>
      <c r="E220" s="167">
        <v>1062.5</v>
      </c>
      <c r="F220" s="17">
        <f t="shared" si="20"/>
        <v>4</v>
      </c>
      <c r="G220" s="236">
        <f t="shared" si="21"/>
        <v>2.858333333333333E-3</v>
      </c>
      <c r="H220" s="8">
        <f t="shared" si="22"/>
        <v>12.15</v>
      </c>
      <c r="I220" s="8">
        <f t="shared" si="23"/>
        <v>36.44</v>
      </c>
    </row>
    <row r="221" spans="1:9" x14ac:dyDescent="0.2">
      <c r="A221" s="206">
        <v>37600</v>
      </c>
      <c r="B221" s="155" t="s">
        <v>513</v>
      </c>
      <c r="C221" s="6" t="s">
        <v>397</v>
      </c>
      <c r="D221" s="56">
        <v>41433</v>
      </c>
      <c r="E221" s="167">
        <v>4530.0300000000007</v>
      </c>
      <c r="F221" s="17">
        <f t="shared" si="20"/>
        <v>4</v>
      </c>
      <c r="G221" s="236">
        <f t="shared" si="21"/>
        <v>2.858333333333333E-3</v>
      </c>
      <c r="H221" s="8">
        <f t="shared" si="22"/>
        <v>51.79</v>
      </c>
      <c r="I221" s="8">
        <f t="shared" si="23"/>
        <v>155.38</v>
      </c>
    </row>
    <row r="222" spans="1:9" x14ac:dyDescent="0.2">
      <c r="A222" s="206">
        <v>37600</v>
      </c>
      <c r="B222" s="155" t="s">
        <v>514</v>
      </c>
      <c r="C222" s="6" t="s">
        <v>382</v>
      </c>
      <c r="D222" s="56">
        <v>41297</v>
      </c>
      <c r="E222" s="167">
        <v>41.390000000000008</v>
      </c>
      <c r="F222" s="17">
        <f t="shared" si="20"/>
        <v>9</v>
      </c>
      <c r="G222" s="236">
        <f t="shared" si="21"/>
        <v>2.858333333333333E-3</v>
      </c>
      <c r="H222" s="8">
        <f t="shared" si="22"/>
        <v>1.06</v>
      </c>
      <c r="I222" s="8">
        <f t="shared" si="23"/>
        <v>1.42</v>
      </c>
    </row>
    <row r="223" spans="1:9" x14ac:dyDescent="0.2">
      <c r="A223" s="206">
        <v>37600</v>
      </c>
      <c r="B223" s="155" t="s">
        <v>515</v>
      </c>
      <c r="C223" s="6" t="s">
        <v>380</v>
      </c>
      <c r="D223" s="56">
        <v>41297</v>
      </c>
      <c r="E223" s="167">
        <v>466.71000000000004</v>
      </c>
      <c r="F223" s="17">
        <f t="shared" si="20"/>
        <v>9</v>
      </c>
      <c r="G223" s="236">
        <f t="shared" si="21"/>
        <v>2.858333333333333E-3</v>
      </c>
      <c r="H223" s="8">
        <f t="shared" si="22"/>
        <v>12.01</v>
      </c>
      <c r="I223" s="8">
        <f t="shared" si="23"/>
        <v>16.010000000000002</v>
      </c>
    </row>
    <row r="224" spans="1:9" x14ac:dyDescent="0.2">
      <c r="A224" s="206">
        <v>37600</v>
      </c>
      <c r="B224" s="155" t="s">
        <v>516</v>
      </c>
      <c r="C224" s="6" t="s">
        <v>383</v>
      </c>
      <c r="D224" s="56">
        <v>41297</v>
      </c>
      <c r="E224" s="167">
        <v>201.66999999999996</v>
      </c>
      <c r="F224" s="17">
        <f t="shared" si="20"/>
        <v>9</v>
      </c>
      <c r="G224" s="236">
        <f t="shared" si="21"/>
        <v>2.858333333333333E-3</v>
      </c>
      <c r="H224" s="8">
        <f t="shared" si="22"/>
        <v>5.19</v>
      </c>
      <c r="I224" s="8">
        <f t="shared" si="23"/>
        <v>6.92</v>
      </c>
    </row>
    <row r="225" spans="1:9" x14ac:dyDescent="0.2">
      <c r="A225" s="206">
        <v>37600</v>
      </c>
      <c r="B225" s="155" t="s">
        <v>517</v>
      </c>
      <c r="C225" s="6" t="s">
        <v>397</v>
      </c>
      <c r="D225" s="56">
        <v>41297</v>
      </c>
      <c r="E225" s="167">
        <v>1500.97</v>
      </c>
      <c r="F225" s="17">
        <f t="shared" si="20"/>
        <v>9</v>
      </c>
      <c r="G225" s="236">
        <f t="shared" si="21"/>
        <v>2.858333333333333E-3</v>
      </c>
      <c r="H225" s="8">
        <f t="shared" si="22"/>
        <v>38.61</v>
      </c>
      <c r="I225" s="8">
        <f t="shared" si="23"/>
        <v>51.48</v>
      </c>
    </row>
    <row r="226" spans="1:9" x14ac:dyDescent="0.2">
      <c r="A226" s="206">
        <v>37600</v>
      </c>
      <c r="B226" s="155" t="s">
        <v>518</v>
      </c>
      <c r="C226" s="6" t="s">
        <v>382</v>
      </c>
      <c r="D226" s="56">
        <v>41379</v>
      </c>
      <c r="E226" s="167">
        <v>297.48</v>
      </c>
      <c r="F226" s="17">
        <f t="shared" si="20"/>
        <v>6</v>
      </c>
      <c r="G226" s="236">
        <f t="shared" si="21"/>
        <v>2.858333333333333E-3</v>
      </c>
      <c r="H226" s="8">
        <f t="shared" si="22"/>
        <v>5.0999999999999996</v>
      </c>
      <c r="I226" s="8">
        <f t="shared" si="23"/>
        <v>10.199999999999999</v>
      </c>
    </row>
    <row r="227" spans="1:9" x14ac:dyDescent="0.2">
      <c r="A227" s="206">
        <v>37600</v>
      </c>
      <c r="B227" s="155" t="s">
        <v>519</v>
      </c>
      <c r="C227" s="6" t="s">
        <v>380</v>
      </c>
      <c r="D227" s="56">
        <v>41379</v>
      </c>
      <c r="E227" s="167">
        <v>381.39</v>
      </c>
      <c r="F227" s="17">
        <f t="shared" si="20"/>
        <v>6</v>
      </c>
      <c r="G227" s="236">
        <f t="shared" si="21"/>
        <v>2.858333333333333E-3</v>
      </c>
      <c r="H227" s="8">
        <f t="shared" si="22"/>
        <v>6.54</v>
      </c>
      <c r="I227" s="8">
        <f t="shared" si="23"/>
        <v>13.08</v>
      </c>
    </row>
    <row r="228" spans="1:9" x14ac:dyDescent="0.2">
      <c r="A228" s="206">
        <v>37600</v>
      </c>
      <c r="B228" s="155" t="s">
        <v>520</v>
      </c>
      <c r="C228" s="6" t="s">
        <v>383</v>
      </c>
      <c r="D228" s="56">
        <v>41379</v>
      </c>
      <c r="E228" s="167">
        <v>725.38</v>
      </c>
      <c r="F228" s="17">
        <f t="shared" si="20"/>
        <v>6</v>
      </c>
      <c r="G228" s="236">
        <f t="shared" si="21"/>
        <v>2.858333333333333E-3</v>
      </c>
      <c r="H228" s="8">
        <f t="shared" si="22"/>
        <v>12.44</v>
      </c>
      <c r="I228" s="8">
        <f t="shared" si="23"/>
        <v>24.88</v>
      </c>
    </row>
    <row r="229" spans="1:9" x14ac:dyDescent="0.2">
      <c r="A229" s="206">
        <v>37600</v>
      </c>
      <c r="B229" s="155" t="s">
        <v>521</v>
      </c>
      <c r="C229" s="6" t="s">
        <v>397</v>
      </c>
      <c r="D229" s="56">
        <v>41379</v>
      </c>
      <c r="E229" s="167">
        <v>400.74999999999994</v>
      </c>
      <c r="F229" s="17">
        <f t="shared" si="20"/>
        <v>6</v>
      </c>
      <c r="G229" s="236">
        <f t="shared" si="21"/>
        <v>2.858333333333333E-3</v>
      </c>
      <c r="H229" s="8">
        <f t="shared" si="22"/>
        <v>6.87</v>
      </c>
      <c r="I229" s="8">
        <f t="shared" si="23"/>
        <v>13.75</v>
      </c>
    </row>
    <row r="230" spans="1:9" x14ac:dyDescent="0.2">
      <c r="A230" s="206">
        <v>37600</v>
      </c>
      <c r="B230" s="155" t="s">
        <v>522</v>
      </c>
      <c r="C230" s="6" t="s">
        <v>383</v>
      </c>
      <c r="D230" s="56">
        <v>41453</v>
      </c>
      <c r="E230" s="167">
        <v>1432.39</v>
      </c>
      <c r="F230" s="17">
        <f t="shared" si="20"/>
        <v>4</v>
      </c>
      <c r="G230" s="236">
        <f t="shared" si="21"/>
        <v>2.858333333333333E-3</v>
      </c>
      <c r="H230" s="8">
        <f t="shared" si="22"/>
        <v>16.38</v>
      </c>
      <c r="I230" s="8">
        <f t="shared" si="23"/>
        <v>49.13</v>
      </c>
    </row>
    <row r="231" spans="1:9" x14ac:dyDescent="0.2">
      <c r="A231" s="206">
        <v>37600</v>
      </c>
      <c r="B231" s="155" t="s">
        <v>523</v>
      </c>
      <c r="C231" s="6" t="s">
        <v>397</v>
      </c>
      <c r="D231" s="56">
        <v>41454</v>
      </c>
      <c r="E231" s="167">
        <v>920.75000000000011</v>
      </c>
      <c r="F231" s="17">
        <f t="shared" si="20"/>
        <v>4</v>
      </c>
      <c r="G231" s="236">
        <f t="shared" si="21"/>
        <v>2.858333333333333E-3</v>
      </c>
      <c r="H231" s="8">
        <f t="shared" si="22"/>
        <v>10.53</v>
      </c>
      <c r="I231" s="8">
        <f t="shared" si="23"/>
        <v>31.58</v>
      </c>
    </row>
    <row r="232" spans="1:9" x14ac:dyDescent="0.2">
      <c r="A232" s="206">
        <v>37600</v>
      </c>
      <c r="B232" s="155" t="s">
        <v>524</v>
      </c>
      <c r="C232" s="6" t="s">
        <v>525</v>
      </c>
      <c r="D232" s="56">
        <v>41297</v>
      </c>
      <c r="E232" s="167">
        <v>1262354.3600000013</v>
      </c>
      <c r="F232" s="17">
        <f t="shared" si="20"/>
        <v>9</v>
      </c>
      <c r="G232" s="236">
        <f t="shared" si="21"/>
        <v>2.858333333333333E-3</v>
      </c>
      <c r="H232" s="8">
        <f t="shared" si="22"/>
        <v>32474.07</v>
      </c>
      <c r="I232" s="8">
        <f t="shared" si="23"/>
        <v>43298.75</v>
      </c>
    </row>
    <row r="233" spans="1:9" x14ac:dyDescent="0.2">
      <c r="A233" s="206" t="s">
        <v>585</v>
      </c>
      <c r="B233" s="155" t="s">
        <v>206</v>
      </c>
      <c r="C233" s="6" t="s">
        <v>309</v>
      </c>
      <c r="D233" s="56">
        <v>41122</v>
      </c>
      <c r="E233" s="243">
        <v>122.07000000000001</v>
      </c>
      <c r="F233" s="17">
        <f t="shared" si="20"/>
        <v>12</v>
      </c>
      <c r="G233" s="236">
        <f t="shared" si="21"/>
        <v>2.858333333333333E-3</v>
      </c>
      <c r="H233" s="8">
        <f t="shared" ref="H233:H259" si="24">ROUND(E233*F233*G233,2)</f>
        <v>4.1900000000000004</v>
      </c>
      <c r="I233" s="8">
        <f t="shared" ref="I233:I259" si="25">ROUND(E233*G233*12,2)</f>
        <v>4.1900000000000004</v>
      </c>
    </row>
    <row r="234" spans="1:9" x14ac:dyDescent="0.2">
      <c r="A234" s="206" t="s">
        <v>585</v>
      </c>
      <c r="B234" s="155" t="s">
        <v>206</v>
      </c>
      <c r="C234" s="6" t="s">
        <v>309</v>
      </c>
      <c r="D234" s="56">
        <v>41153</v>
      </c>
      <c r="E234" s="243">
        <v>493.76</v>
      </c>
      <c r="F234" s="17">
        <f t="shared" si="20"/>
        <v>12</v>
      </c>
      <c r="G234" s="236">
        <f t="shared" si="21"/>
        <v>2.858333333333333E-3</v>
      </c>
      <c r="H234" s="8">
        <f t="shared" si="24"/>
        <v>16.940000000000001</v>
      </c>
      <c r="I234" s="8">
        <f t="shared" si="25"/>
        <v>16.940000000000001</v>
      </c>
    </row>
    <row r="235" spans="1:9" x14ac:dyDescent="0.2">
      <c r="A235" s="206" t="s">
        <v>585</v>
      </c>
      <c r="B235" s="155" t="s">
        <v>206</v>
      </c>
      <c r="C235" s="6" t="s">
        <v>309</v>
      </c>
      <c r="D235" s="56">
        <v>41183</v>
      </c>
      <c r="E235" s="243">
        <v>1189.73</v>
      </c>
      <c r="F235" s="17">
        <f t="shared" si="20"/>
        <v>12</v>
      </c>
      <c r="G235" s="236">
        <f t="shared" si="21"/>
        <v>2.858333333333333E-3</v>
      </c>
      <c r="H235" s="8">
        <f t="shared" si="24"/>
        <v>40.81</v>
      </c>
      <c r="I235" s="8">
        <f t="shared" si="25"/>
        <v>40.81</v>
      </c>
    </row>
    <row r="236" spans="1:9" x14ac:dyDescent="0.2">
      <c r="A236" s="206" t="s">
        <v>585</v>
      </c>
      <c r="B236" s="155" t="s">
        <v>207</v>
      </c>
      <c r="C236" s="6" t="s">
        <v>310</v>
      </c>
      <c r="D236" s="56">
        <v>41153</v>
      </c>
      <c r="E236" s="243">
        <v>2987.93</v>
      </c>
      <c r="F236" s="17">
        <f t="shared" si="20"/>
        <v>12</v>
      </c>
      <c r="G236" s="236">
        <f t="shared" si="21"/>
        <v>2.858333333333333E-3</v>
      </c>
      <c r="H236" s="8">
        <f t="shared" si="24"/>
        <v>102.49</v>
      </c>
      <c r="I236" s="8">
        <f t="shared" si="25"/>
        <v>102.49</v>
      </c>
    </row>
    <row r="237" spans="1:9" x14ac:dyDescent="0.2">
      <c r="A237" s="206" t="s">
        <v>585</v>
      </c>
      <c r="B237" s="155" t="s">
        <v>207</v>
      </c>
      <c r="C237" s="6" t="s">
        <v>310</v>
      </c>
      <c r="D237" s="56">
        <v>41183</v>
      </c>
      <c r="E237" s="243">
        <v>1930.1100000000001</v>
      </c>
      <c r="F237" s="17">
        <f t="shared" si="20"/>
        <v>12</v>
      </c>
      <c r="G237" s="236">
        <f t="shared" si="21"/>
        <v>2.858333333333333E-3</v>
      </c>
      <c r="H237" s="8">
        <f t="shared" si="24"/>
        <v>66.2</v>
      </c>
      <c r="I237" s="8">
        <f t="shared" si="25"/>
        <v>66.2</v>
      </c>
    </row>
    <row r="238" spans="1:9" x14ac:dyDescent="0.2">
      <c r="A238" s="206" t="s">
        <v>585</v>
      </c>
      <c r="B238" s="155" t="s">
        <v>208</v>
      </c>
      <c r="C238" s="6" t="s">
        <v>312</v>
      </c>
      <c r="D238" s="56">
        <v>41122</v>
      </c>
      <c r="E238" s="243">
        <v>427.86</v>
      </c>
      <c r="F238" s="17">
        <f t="shared" si="20"/>
        <v>12</v>
      </c>
      <c r="G238" s="236">
        <f t="shared" si="21"/>
        <v>2.858333333333333E-3</v>
      </c>
      <c r="H238" s="8">
        <f t="shared" si="24"/>
        <v>14.68</v>
      </c>
      <c r="I238" s="8">
        <f t="shared" si="25"/>
        <v>14.68</v>
      </c>
    </row>
    <row r="239" spans="1:9" x14ac:dyDescent="0.2">
      <c r="A239" s="206" t="s">
        <v>585</v>
      </c>
      <c r="B239" s="155" t="s">
        <v>208</v>
      </c>
      <c r="C239" s="6" t="s">
        <v>312</v>
      </c>
      <c r="D239" s="56">
        <v>41153</v>
      </c>
      <c r="E239" s="8">
        <v>946.48</v>
      </c>
      <c r="F239" s="17">
        <f t="shared" si="20"/>
        <v>12</v>
      </c>
      <c r="G239" s="236">
        <f t="shared" si="21"/>
        <v>2.858333333333333E-3</v>
      </c>
      <c r="H239" s="8">
        <f t="shared" si="24"/>
        <v>32.46</v>
      </c>
      <c r="I239" s="8">
        <f t="shared" si="25"/>
        <v>32.46</v>
      </c>
    </row>
    <row r="240" spans="1:9" x14ac:dyDescent="0.2">
      <c r="A240" s="206" t="s">
        <v>585</v>
      </c>
      <c r="B240" s="155" t="s">
        <v>208</v>
      </c>
      <c r="C240" s="6" t="s">
        <v>312</v>
      </c>
      <c r="D240" s="56">
        <v>41183</v>
      </c>
      <c r="E240" s="8">
        <v>2232.96</v>
      </c>
      <c r="F240" s="17">
        <f t="shared" si="20"/>
        <v>12</v>
      </c>
      <c r="G240" s="236">
        <f t="shared" si="21"/>
        <v>2.858333333333333E-3</v>
      </c>
      <c r="H240" s="8">
        <f t="shared" si="24"/>
        <v>76.59</v>
      </c>
      <c r="I240" s="8">
        <f t="shared" si="25"/>
        <v>76.59</v>
      </c>
    </row>
    <row r="241" spans="1:9" x14ac:dyDescent="0.2">
      <c r="A241" s="206" t="s">
        <v>586</v>
      </c>
      <c r="B241" s="155" t="s">
        <v>211</v>
      </c>
      <c r="C241" s="6" t="s">
        <v>282</v>
      </c>
      <c r="D241" s="56">
        <v>41122</v>
      </c>
      <c r="E241" s="243">
        <v>368.09000000000003</v>
      </c>
      <c r="F241" s="17">
        <f t="shared" si="20"/>
        <v>12</v>
      </c>
      <c r="G241" s="236">
        <f t="shared" si="21"/>
        <v>2.858333333333333E-3</v>
      </c>
      <c r="H241" s="8">
        <f t="shared" si="24"/>
        <v>12.63</v>
      </c>
      <c r="I241" s="8">
        <f t="shared" si="25"/>
        <v>12.63</v>
      </c>
    </row>
    <row r="242" spans="1:9" x14ac:dyDescent="0.2">
      <c r="A242" s="206" t="s">
        <v>586</v>
      </c>
      <c r="B242" s="155" t="s">
        <v>211</v>
      </c>
      <c r="C242" s="6" t="s">
        <v>282</v>
      </c>
      <c r="D242" s="56">
        <v>41183</v>
      </c>
      <c r="E242" s="243">
        <v>2080.67</v>
      </c>
      <c r="F242" s="17">
        <f t="shared" si="20"/>
        <v>12</v>
      </c>
      <c r="G242" s="236">
        <f t="shared" si="21"/>
        <v>2.858333333333333E-3</v>
      </c>
      <c r="H242" s="8">
        <f t="shared" si="24"/>
        <v>71.37</v>
      </c>
      <c r="I242" s="8">
        <f t="shared" si="25"/>
        <v>71.37</v>
      </c>
    </row>
    <row r="243" spans="1:9" x14ac:dyDescent="0.2">
      <c r="A243" s="206" t="s">
        <v>586</v>
      </c>
      <c r="B243" s="155" t="s">
        <v>215</v>
      </c>
      <c r="C243" s="6" t="s">
        <v>318</v>
      </c>
      <c r="D243" s="56">
        <v>41122</v>
      </c>
      <c r="E243" s="8">
        <v>-1.94</v>
      </c>
      <c r="F243" s="17">
        <f t="shared" si="20"/>
        <v>12</v>
      </c>
      <c r="G243" s="236">
        <f t="shared" si="21"/>
        <v>2.858333333333333E-3</v>
      </c>
      <c r="H243" s="8">
        <f t="shared" si="24"/>
        <v>-7.0000000000000007E-2</v>
      </c>
      <c r="I243" s="8">
        <f t="shared" si="25"/>
        <v>-7.0000000000000007E-2</v>
      </c>
    </row>
    <row r="244" spans="1:9" x14ac:dyDescent="0.2">
      <c r="A244" s="206" t="s">
        <v>586</v>
      </c>
      <c r="B244" s="155" t="s">
        <v>215</v>
      </c>
      <c r="C244" s="6" t="s">
        <v>318</v>
      </c>
      <c r="D244" s="56">
        <v>41153</v>
      </c>
      <c r="E244" s="8">
        <v>2845.77</v>
      </c>
      <c r="F244" s="17">
        <f t="shared" si="20"/>
        <v>12</v>
      </c>
      <c r="G244" s="236">
        <f t="shared" si="21"/>
        <v>2.858333333333333E-3</v>
      </c>
      <c r="H244" s="8">
        <f t="shared" si="24"/>
        <v>97.61</v>
      </c>
      <c r="I244" s="8">
        <f t="shared" si="25"/>
        <v>97.61</v>
      </c>
    </row>
    <row r="245" spans="1:9" x14ac:dyDescent="0.2">
      <c r="A245" s="206" t="s">
        <v>587</v>
      </c>
      <c r="B245" s="155" t="s">
        <v>211</v>
      </c>
      <c r="C245" s="6" t="s">
        <v>282</v>
      </c>
      <c r="D245" s="56">
        <v>41153</v>
      </c>
      <c r="E245" s="243">
        <v>3973.96</v>
      </c>
      <c r="F245" s="17">
        <f t="shared" si="20"/>
        <v>12</v>
      </c>
      <c r="G245" s="236">
        <f t="shared" si="21"/>
        <v>2.858333333333333E-3</v>
      </c>
      <c r="H245" s="8">
        <f t="shared" si="24"/>
        <v>136.31</v>
      </c>
      <c r="I245" s="8">
        <f t="shared" si="25"/>
        <v>136.31</v>
      </c>
    </row>
    <row r="246" spans="1:9" x14ac:dyDescent="0.2">
      <c r="A246" s="206" t="s">
        <v>587</v>
      </c>
      <c r="B246" s="155" t="s">
        <v>211</v>
      </c>
      <c r="C246" s="6" t="s">
        <v>282</v>
      </c>
      <c r="D246" s="56">
        <v>41183</v>
      </c>
      <c r="E246" s="243">
        <v>1336.89</v>
      </c>
      <c r="F246" s="17">
        <f t="shared" si="20"/>
        <v>12</v>
      </c>
      <c r="G246" s="236">
        <f t="shared" si="21"/>
        <v>2.858333333333333E-3</v>
      </c>
      <c r="H246" s="8">
        <f t="shared" si="24"/>
        <v>45.86</v>
      </c>
      <c r="I246" s="8">
        <f t="shared" si="25"/>
        <v>45.86</v>
      </c>
    </row>
    <row r="247" spans="1:9" x14ac:dyDescent="0.2">
      <c r="A247" s="206" t="s">
        <v>587</v>
      </c>
      <c r="B247" s="155" t="s">
        <v>212</v>
      </c>
      <c r="C247" s="6" t="s">
        <v>283</v>
      </c>
      <c r="D247" s="56">
        <v>41122</v>
      </c>
      <c r="E247" s="243">
        <v>504.38</v>
      </c>
      <c r="F247" s="17">
        <f t="shared" si="20"/>
        <v>12</v>
      </c>
      <c r="G247" s="236">
        <f t="shared" si="21"/>
        <v>2.858333333333333E-3</v>
      </c>
      <c r="H247" s="8">
        <f t="shared" si="24"/>
        <v>17.3</v>
      </c>
      <c r="I247" s="8">
        <f t="shared" si="25"/>
        <v>17.3</v>
      </c>
    </row>
    <row r="248" spans="1:9" x14ac:dyDescent="0.2">
      <c r="A248" s="206" t="s">
        <v>587</v>
      </c>
      <c r="B248" s="155" t="s">
        <v>212</v>
      </c>
      <c r="C248" s="6" t="s">
        <v>283</v>
      </c>
      <c r="D248" s="56">
        <v>41153</v>
      </c>
      <c r="E248" s="243">
        <v>2143.23</v>
      </c>
      <c r="F248" s="17">
        <f t="shared" si="20"/>
        <v>12</v>
      </c>
      <c r="G248" s="236">
        <f t="shared" si="21"/>
        <v>2.858333333333333E-3</v>
      </c>
      <c r="H248" s="8">
        <f t="shared" si="24"/>
        <v>73.510000000000005</v>
      </c>
      <c r="I248" s="8">
        <f t="shared" si="25"/>
        <v>73.510000000000005</v>
      </c>
    </row>
    <row r="249" spans="1:9" x14ac:dyDescent="0.2">
      <c r="A249" s="206" t="s">
        <v>587</v>
      </c>
      <c r="B249" s="155" t="s">
        <v>212</v>
      </c>
      <c r="C249" s="6" t="s">
        <v>283</v>
      </c>
      <c r="D249" s="56">
        <v>41183</v>
      </c>
      <c r="E249" s="243">
        <v>2427.25</v>
      </c>
      <c r="F249" s="17">
        <f t="shared" si="20"/>
        <v>12</v>
      </c>
      <c r="G249" s="236">
        <f t="shared" si="21"/>
        <v>2.858333333333333E-3</v>
      </c>
      <c r="H249" s="8">
        <f t="shared" si="24"/>
        <v>83.25</v>
      </c>
      <c r="I249" s="8">
        <f t="shared" si="25"/>
        <v>83.25</v>
      </c>
    </row>
    <row r="250" spans="1:9" x14ac:dyDescent="0.2">
      <c r="A250" s="206" t="s">
        <v>587</v>
      </c>
      <c r="B250" s="155" t="s">
        <v>213</v>
      </c>
      <c r="C250" s="6" t="s">
        <v>285</v>
      </c>
      <c r="D250" s="56">
        <v>41122</v>
      </c>
      <c r="E250" s="243">
        <v>831.59</v>
      </c>
      <c r="F250" s="17">
        <f t="shared" si="20"/>
        <v>12</v>
      </c>
      <c r="G250" s="236">
        <f t="shared" si="21"/>
        <v>2.858333333333333E-3</v>
      </c>
      <c r="H250" s="8">
        <f t="shared" si="24"/>
        <v>28.52</v>
      </c>
      <c r="I250" s="8">
        <f t="shared" si="25"/>
        <v>28.52</v>
      </c>
    </row>
    <row r="251" spans="1:9" x14ac:dyDescent="0.2">
      <c r="A251" s="206" t="s">
        <v>587</v>
      </c>
      <c r="B251" s="155" t="s">
        <v>213</v>
      </c>
      <c r="C251" s="6" t="s">
        <v>285</v>
      </c>
      <c r="D251" s="56">
        <v>41153</v>
      </c>
      <c r="E251" s="243">
        <v>2395.77</v>
      </c>
      <c r="F251" s="17">
        <f t="shared" si="20"/>
        <v>12</v>
      </c>
      <c r="G251" s="236">
        <f t="shared" si="21"/>
        <v>2.858333333333333E-3</v>
      </c>
      <c r="H251" s="8">
        <f t="shared" si="24"/>
        <v>82.17</v>
      </c>
      <c r="I251" s="8">
        <f t="shared" si="25"/>
        <v>82.17</v>
      </c>
    </row>
    <row r="252" spans="1:9" x14ac:dyDescent="0.2">
      <c r="A252" s="206" t="s">
        <v>587</v>
      </c>
      <c r="B252" s="155" t="s">
        <v>213</v>
      </c>
      <c r="C252" s="6" t="s">
        <v>285</v>
      </c>
      <c r="D252" s="56">
        <v>41183</v>
      </c>
      <c r="E252" s="243">
        <v>3065.4300000000003</v>
      </c>
      <c r="F252" s="17">
        <f t="shared" si="20"/>
        <v>12</v>
      </c>
      <c r="G252" s="236">
        <f t="shared" si="21"/>
        <v>2.858333333333333E-3</v>
      </c>
      <c r="H252" s="8">
        <f t="shared" si="24"/>
        <v>105.14</v>
      </c>
      <c r="I252" s="8">
        <f t="shared" si="25"/>
        <v>105.14</v>
      </c>
    </row>
    <row r="253" spans="1:9" x14ac:dyDescent="0.2">
      <c r="A253" s="206" t="s">
        <v>587</v>
      </c>
      <c r="B253" s="155" t="s">
        <v>214</v>
      </c>
      <c r="C253" s="6" t="s">
        <v>316</v>
      </c>
      <c r="D253" s="56">
        <v>41122</v>
      </c>
      <c r="E253" s="243">
        <v>113.39</v>
      </c>
      <c r="F253" s="17">
        <f t="shared" si="20"/>
        <v>12</v>
      </c>
      <c r="G253" s="236">
        <f t="shared" si="21"/>
        <v>2.858333333333333E-3</v>
      </c>
      <c r="H253" s="8">
        <f t="shared" si="24"/>
        <v>3.89</v>
      </c>
      <c r="I253" s="8">
        <f t="shared" si="25"/>
        <v>3.89</v>
      </c>
    </row>
    <row r="254" spans="1:9" x14ac:dyDescent="0.2">
      <c r="A254" s="206" t="s">
        <v>587</v>
      </c>
      <c r="B254" s="155" t="s">
        <v>214</v>
      </c>
      <c r="C254" s="6" t="s">
        <v>316</v>
      </c>
      <c r="D254" s="56">
        <v>41153</v>
      </c>
      <c r="E254" s="243">
        <v>5035.1900000000005</v>
      </c>
      <c r="F254" s="17">
        <f t="shared" si="20"/>
        <v>12</v>
      </c>
      <c r="G254" s="236">
        <f t="shared" si="21"/>
        <v>2.858333333333333E-3</v>
      </c>
      <c r="H254" s="8">
        <f t="shared" si="24"/>
        <v>172.71</v>
      </c>
      <c r="I254" s="8">
        <f t="shared" si="25"/>
        <v>172.71</v>
      </c>
    </row>
    <row r="255" spans="1:9" x14ac:dyDescent="0.2">
      <c r="A255" s="206" t="s">
        <v>587</v>
      </c>
      <c r="B255" s="155" t="s">
        <v>214</v>
      </c>
      <c r="C255" s="6" t="s">
        <v>316</v>
      </c>
      <c r="D255" s="56">
        <v>41183</v>
      </c>
      <c r="E255" s="8">
        <v>3296.65</v>
      </c>
      <c r="F255" s="17">
        <f t="shared" si="20"/>
        <v>12</v>
      </c>
      <c r="G255" s="236">
        <f t="shared" si="21"/>
        <v>2.858333333333333E-3</v>
      </c>
      <c r="H255" s="8">
        <f t="shared" si="24"/>
        <v>113.08</v>
      </c>
      <c r="I255" s="8">
        <f t="shared" si="25"/>
        <v>113.08</v>
      </c>
    </row>
    <row r="256" spans="1:9" x14ac:dyDescent="0.2">
      <c r="A256" s="206" t="s">
        <v>587</v>
      </c>
      <c r="B256" s="155" t="s">
        <v>215</v>
      </c>
      <c r="C256" s="6" t="s">
        <v>318</v>
      </c>
      <c r="D256" s="56">
        <v>41122</v>
      </c>
      <c r="E256" s="8">
        <v>-1.1200000000000001</v>
      </c>
      <c r="F256" s="17">
        <f t="shared" si="20"/>
        <v>12</v>
      </c>
      <c r="G256" s="236">
        <f t="shared" si="21"/>
        <v>2.858333333333333E-3</v>
      </c>
      <c r="H256" s="8">
        <f t="shared" si="24"/>
        <v>-0.04</v>
      </c>
      <c r="I256" s="8">
        <f t="shared" si="25"/>
        <v>-0.04</v>
      </c>
    </row>
    <row r="257" spans="1:9" x14ac:dyDescent="0.2">
      <c r="A257" s="206" t="s">
        <v>587</v>
      </c>
      <c r="B257" s="155" t="s">
        <v>215</v>
      </c>
      <c r="C257" s="6" t="s">
        <v>318</v>
      </c>
      <c r="D257" s="56">
        <v>41153</v>
      </c>
      <c r="E257" s="8">
        <v>1333.05</v>
      </c>
      <c r="F257" s="17">
        <f t="shared" si="20"/>
        <v>12</v>
      </c>
      <c r="G257" s="236">
        <f t="shared" si="21"/>
        <v>2.858333333333333E-3</v>
      </c>
      <c r="H257" s="8">
        <f t="shared" si="24"/>
        <v>45.72</v>
      </c>
      <c r="I257" s="8">
        <f t="shared" si="25"/>
        <v>45.72</v>
      </c>
    </row>
    <row r="258" spans="1:9" x14ac:dyDescent="0.2">
      <c r="A258" s="206" t="s">
        <v>587</v>
      </c>
      <c r="B258" s="155" t="s">
        <v>568</v>
      </c>
      <c r="C258" s="6" t="s">
        <v>561</v>
      </c>
      <c r="D258" s="56">
        <v>41122</v>
      </c>
      <c r="E258" s="8">
        <v>-23.03</v>
      </c>
      <c r="F258" s="17">
        <f t="shared" si="20"/>
        <v>12</v>
      </c>
      <c r="G258" s="236">
        <f t="shared" si="21"/>
        <v>2.858333333333333E-3</v>
      </c>
      <c r="H258" s="8">
        <f t="shared" si="24"/>
        <v>-0.79</v>
      </c>
      <c r="I258" s="8">
        <f t="shared" si="25"/>
        <v>-0.79</v>
      </c>
    </row>
    <row r="259" spans="1:9" x14ac:dyDescent="0.2">
      <c r="A259" s="206" t="s">
        <v>587</v>
      </c>
      <c r="B259" s="155" t="s">
        <v>568</v>
      </c>
      <c r="C259" s="6" t="s">
        <v>561</v>
      </c>
      <c r="D259" s="56">
        <v>41153</v>
      </c>
      <c r="E259" s="8">
        <v>-30.91</v>
      </c>
      <c r="F259" s="17">
        <f t="shared" si="20"/>
        <v>12</v>
      </c>
      <c r="G259" s="236">
        <f t="shared" si="21"/>
        <v>2.858333333333333E-3</v>
      </c>
      <c r="H259" s="8">
        <f t="shared" si="24"/>
        <v>-1.06</v>
      </c>
      <c r="I259" s="8">
        <f t="shared" si="25"/>
        <v>-1.06</v>
      </c>
    </row>
    <row r="260" spans="1:9" x14ac:dyDescent="0.2">
      <c r="A260" s="203" t="s">
        <v>585</v>
      </c>
      <c r="B260" s="6" t="s">
        <v>207</v>
      </c>
      <c r="C260" s="6" t="s">
        <v>310</v>
      </c>
      <c r="D260" s="202">
        <v>41061</v>
      </c>
      <c r="E260" s="8">
        <v>233.93</v>
      </c>
      <c r="F260" s="17">
        <f t="shared" si="20"/>
        <v>12</v>
      </c>
      <c r="G260" s="236">
        <f t="shared" si="21"/>
        <v>2.858333333333333E-3</v>
      </c>
      <c r="H260" s="8">
        <f t="shared" ref="H260:H278" si="26">ROUND(E260*F260*G260,2)</f>
        <v>8.02</v>
      </c>
      <c r="I260" s="8">
        <f t="shared" ref="I260:I278" si="27">ROUND(E260*G260*12,2)</f>
        <v>8.02</v>
      </c>
    </row>
    <row r="261" spans="1:9" x14ac:dyDescent="0.2">
      <c r="A261" s="203" t="s">
        <v>585</v>
      </c>
      <c r="B261" s="6" t="s">
        <v>208</v>
      </c>
      <c r="C261" s="6" t="s">
        <v>312</v>
      </c>
      <c r="D261" s="202">
        <v>41061</v>
      </c>
      <c r="E261" s="8">
        <v>211.38</v>
      </c>
      <c r="F261" s="17">
        <f t="shared" si="20"/>
        <v>12</v>
      </c>
      <c r="G261" s="236">
        <f t="shared" si="21"/>
        <v>2.858333333333333E-3</v>
      </c>
      <c r="H261" s="8">
        <f t="shared" si="26"/>
        <v>7.25</v>
      </c>
      <c r="I261" s="8">
        <f t="shared" si="27"/>
        <v>7.25</v>
      </c>
    </row>
    <row r="262" spans="1:9" x14ac:dyDescent="0.2">
      <c r="A262" s="203" t="s">
        <v>585</v>
      </c>
      <c r="B262" s="6" t="s">
        <v>208</v>
      </c>
      <c r="C262" s="6" t="s">
        <v>312</v>
      </c>
      <c r="D262" s="202">
        <v>41091</v>
      </c>
      <c r="E262" s="8">
        <v>-13.86</v>
      </c>
      <c r="F262" s="17">
        <f t="shared" si="20"/>
        <v>12</v>
      </c>
      <c r="G262" s="236">
        <f t="shared" si="21"/>
        <v>2.858333333333333E-3</v>
      </c>
      <c r="H262" s="8">
        <f t="shared" si="26"/>
        <v>-0.48</v>
      </c>
      <c r="I262" s="8">
        <f t="shared" si="27"/>
        <v>-0.48</v>
      </c>
    </row>
    <row r="263" spans="1:9" x14ac:dyDescent="0.2">
      <c r="A263" s="203" t="s">
        <v>585</v>
      </c>
      <c r="B263" s="6" t="s">
        <v>209</v>
      </c>
      <c r="C263" s="6" t="s">
        <v>340</v>
      </c>
      <c r="D263" s="202">
        <v>41061</v>
      </c>
      <c r="E263" s="8">
        <v>47.54</v>
      </c>
      <c r="F263" s="17">
        <f t="shared" si="20"/>
        <v>12</v>
      </c>
      <c r="G263" s="236">
        <f t="shared" si="21"/>
        <v>2.858333333333333E-3</v>
      </c>
      <c r="H263" s="8">
        <f t="shared" si="26"/>
        <v>1.63</v>
      </c>
      <c r="I263" s="8">
        <f t="shared" si="27"/>
        <v>1.63</v>
      </c>
    </row>
    <row r="264" spans="1:9" x14ac:dyDescent="0.2">
      <c r="A264" s="203" t="s">
        <v>585</v>
      </c>
      <c r="B264" s="6" t="s">
        <v>210</v>
      </c>
      <c r="C264" s="6" t="s">
        <v>342</v>
      </c>
      <c r="D264" s="202">
        <v>41061</v>
      </c>
      <c r="E264" s="8">
        <v>1.26</v>
      </c>
      <c r="F264" s="17">
        <f t="shared" si="20"/>
        <v>12</v>
      </c>
      <c r="G264" s="236">
        <f t="shared" ref="G264:G278" si="28">0.0343/12</f>
        <v>2.858333333333333E-3</v>
      </c>
      <c r="H264" s="8">
        <f t="shared" si="26"/>
        <v>0.04</v>
      </c>
      <c r="I264" s="8">
        <f t="shared" si="27"/>
        <v>0.04</v>
      </c>
    </row>
    <row r="265" spans="1:9" x14ac:dyDescent="0.2">
      <c r="A265" s="203" t="s">
        <v>586</v>
      </c>
      <c r="B265" s="6" t="s">
        <v>211</v>
      </c>
      <c r="C265" s="6" t="s">
        <v>282</v>
      </c>
      <c r="D265" s="202">
        <v>41061</v>
      </c>
      <c r="E265" s="8">
        <v>-504.35</v>
      </c>
      <c r="F265" s="17">
        <f t="shared" si="20"/>
        <v>12</v>
      </c>
      <c r="G265" s="236">
        <f t="shared" si="28"/>
        <v>2.858333333333333E-3</v>
      </c>
      <c r="H265" s="8">
        <f t="shared" si="26"/>
        <v>-17.3</v>
      </c>
      <c r="I265" s="8">
        <f t="shared" si="27"/>
        <v>-17.3</v>
      </c>
    </row>
    <row r="266" spans="1:9" x14ac:dyDescent="0.2">
      <c r="A266" s="203" t="s">
        <v>586</v>
      </c>
      <c r="B266" s="6" t="s">
        <v>211</v>
      </c>
      <c r="C266" s="6" t="s">
        <v>282</v>
      </c>
      <c r="D266" s="202">
        <v>41091</v>
      </c>
      <c r="E266" s="8">
        <v>837.87</v>
      </c>
      <c r="F266" s="17">
        <f t="shared" si="20"/>
        <v>12</v>
      </c>
      <c r="G266" s="236">
        <f t="shared" si="28"/>
        <v>2.858333333333333E-3</v>
      </c>
      <c r="H266" s="8">
        <f t="shared" si="26"/>
        <v>28.74</v>
      </c>
      <c r="I266" s="8">
        <f t="shared" si="27"/>
        <v>28.74</v>
      </c>
    </row>
    <row r="267" spans="1:9" x14ac:dyDescent="0.2">
      <c r="A267" s="203" t="s">
        <v>586</v>
      </c>
      <c r="B267" s="6" t="s">
        <v>214</v>
      </c>
      <c r="C267" s="6" t="s">
        <v>316</v>
      </c>
      <c r="D267" s="202">
        <v>41091</v>
      </c>
      <c r="E267" s="8">
        <v>0</v>
      </c>
      <c r="F267" s="17">
        <f t="shared" si="20"/>
        <v>12</v>
      </c>
      <c r="G267" s="236">
        <f t="shared" si="28"/>
        <v>2.858333333333333E-3</v>
      </c>
      <c r="H267" s="8">
        <f t="shared" si="26"/>
        <v>0</v>
      </c>
      <c r="I267" s="8">
        <f t="shared" si="27"/>
        <v>0</v>
      </c>
    </row>
    <row r="268" spans="1:9" x14ac:dyDescent="0.2">
      <c r="A268" s="203" t="s">
        <v>586</v>
      </c>
      <c r="B268" s="6" t="s">
        <v>215</v>
      </c>
      <c r="C268" s="6" t="s">
        <v>318</v>
      </c>
      <c r="D268" s="202">
        <v>41061</v>
      </c>
      <c r="E268" s="8">
        <v>158.38999999999999</v>
      </c>
      <c r="F268" s="17">
        <f t="shared" si="20"/>
        <v>12</v>
      </c>
      <c r="G268" s="236">
        <f t="shared" si="28"/>
        <v>2.858333333333333E-3</v>
      </c>
      <c r="H268" s="8">
        <f t="shared" si="26"/>
        <v>5.43</v>
      </c>
      <c r="I268" s="8">
        <f t="shared" si="27"/>
        <v>5.43</v>
      </c>
    </row>
    <row r="269" spans="1:9" x14ac:dyDescent="0.2">
      <c r="A269" s="203" t="s">
        <v>586</v>
      </c>
      <c r="B269" s="6" t="s">
        <v>215</v>
      </c>
      <c r="C269" s="6" t="s">
        <v>318</v>
      </c>
      <c r="D269" s="202">
        <v>41091</v>
      </c>
      <c r="E269" s="8">
        <v>-111.61</v>
      </c>
      <c r="F269" s="17">
        <f t="shared" si="20"/>
        <v>12</v>
      </c>
      <c r="G269" s="236">
        <f t="shared" si="28"/>
        <v>2.858333333333333E-3</v>
      </c>
      <c r="H269" s="8">
        <f t="shared" si="26"/>
        <v>-3.83</v>
      </c>
      <c r="I269" s="8">
        <f t="shared" si="27"/>
        <v>-3.83</v>
      </c>
    </row>
    <row r="270" spans="1:9" x14ac:dyDescent="0.2">
      <c r="A270" s="203" t="s">
        <v>587</v>
      </c>
      <c r="B270" s="6" t="s">
        <v>212</v>
      </c>
      <c r="C270" s="6" t="s">
        <v>283</v>
      </c>
      <c r="D270" s="202">
        <v>41061</v>
      </c>
      <c r="E270" s="8">
        <v>1609.13</v>
      </c>
      <c r="F270" s="17">
        <f t="shared" si="20"/>
        <v>12</v>
      </c>
      <c r="G270" s="236">
        <f t="shared" si="28"/>
        <v>2.858333333333333E-3</v>
      </c>
      <c r="H270" s="8">
        <f t="shared" si="26"/>
        <v>55.19</v>
      </c>
      <c r="I270" s="8">
        <f t="shared" si="27"/>
        <v>55.19</v>
      </c>
    </row>
    <row r="271" spans="1:9" x14ac:dyDescent="0.2">
      <c r="A271" s="203" t="s">
        <v>587</v>
      </c>
      <c r="B271" s="6" t="s">
        <v>212</v>
      </c>
      <c r="C271" s="6" t="s">
        <v>283</v>
      </c>
      <c r="D271" s="202">
        <v>41091</v>
      </c>
      <c r="E271" s="8">
        <v>1059.8800000000001</v>
      </c>
      <c r="F271" s="17">
        <f t="shared" si="20"/>
        <v>12</v>
      </c>
      <c r="G271" s="236">
        <f t="shared" si="28"/>
        <v>2.858333333333333E-3</v>
      </c>
      <c r="H271" s="8">
        <f t="shared" si="26"/>
        <v>36.35</v>
      </c>
      <c r="I271" s="8">
        <f t="shared" si="27"/>
        <v>36.35</v>
      </c>
    </row>
    <row r="272" spans="1:9" x14ac:dyDescent="0.2">
      <c r="A272" s="203" t="s">
        <v>587</v>
      </c>
      <c r="B272" s="6" t="s">
        <v>213</v>
      </c>
      <c r="C272" s="6" t="s">
        <v>285</v>
      </c>
      <c r="D272" s="202">
        <v>41061</v>
      </c>
      <c r="E272" s="8">
        <v>-188.85</v>
      </c>
      <c r="F272" s="17">
        <f t="shared" si="20"/>
        <v>12</v>
      </c>
      <c r="G272" s="236">
        <f t="shared" si="28"/>
        <v>2.858333333333333E-3</v>
      </c>
      <c r="H272" s="8">
        <f t="shared" si="26"/>
        <v>-6.48</v>
      </c>
      <c r="I272" s="8">
        <f t="shared" si="27"/>
        <v>-6.48</v>
      </c>
    </row>
    <row r="273" spans="1:9" x14ac:dyDescent="0.2">
      <c r="A273" s="203" t="s">
        <v>587</v>
      </c>
      <c r="B273" s="6" t="s">
        <v>213</v>
      </c>
      <c r="C273" s="6" t="s">
        <v>285</v>
      </c>
      <c r="D273" s="202">
        <v>41091</v>
      </c>
      <c r="E273" s="8">
        <v>1590.45</v>
      </c>
      <c r="F273" s="17">
        <f t="shared" si="20"/>
        <v>12</v>
      </c>
      <c r="G273" s="236">
        <f t="shared" si="28"/>
        <v>2.858333333333333E-3</v>
      </c>
      <c r="H273" s="8">
        <f t="shared" si="26"/>
        <v>54.55</v>
      </c>
      <c r="I273" s="8">
        <f t="shared" si="27"/>
        <v>54.55</v>
      </c>
    </row>
    <row r="274" spans="1:9" x14ac:dyDescent="0.2">
      <c r="A274" s="203" t="s">
        <v>587</v>
      </c>
      <c r="B274" s="6" t="s">
        <v>214</v>
      </c>
      <c r="C274" s="6" t="s">
        <v>316</v>
      </c>
      <c r="D274" s="202">
        <v>41061</v>
      </c>
      <c r="E274" s="8">
        <v>14200.18</v>
      </c>
      <c r="F274" s="17">
        <f t="shared" si="20"/>
        <v>12</v>
      </c>
      <c r="G274" s="236">
        <f t="shared" si="28"/>
        <v>2.858333333333333E-3</v>
      </c>
      <c r="H274" s="8">
        <f t="shared" si="26"/>
        <v>487.07</v>
      </c>
      <c r="I274" s="8">
        <f t="shared" si="27"/>
        <v>487.07</v>
      </c>
    </row>
    <row r="275" spans="1:9" x14ac:dyDescent="0.2">
      <c r="A275" s="203" t="s">
        <v>587</v>
      </c>
      <c r="B275" s="6" t="s">
        <v>214</v>
      </c>
      <c r="C275" s="6" t="s">
        <v>316</v>
      </c>
      <c r="D275" s="202">
        <v>41091</v>
      </c>
      <c r="E275" s="8">
        <v>4393.3100000000004</v>
      </c>
      <c r="F275" s="17">
        <f t="shared" si="20"/>
        <v>12</v>
      </c>
      <c r="G275" s="236">
        <f t="shared" si="28"/>
        <v>2.858333333333333E-3</v>
      </c>
      <c r="H275" s="8">
        <f t="shared" si="26"/>
        <v>150.69</v>
      </c>
      <c r="I275" s="8">
        <f t="shared" si="27"/>
        <v>150.69</v>
      </c>
    </row>
    <row r="276" spans="1:9" x14ac:dyDescent="0.2">
      <c r="A276" s="203" t="s">
        <v>587</v>
      </c>
      <c r="B276" s="6" t="s">
        <v>215</v>
      </c>
      <c r="C276" s="6" t="s">
        <v>318</v>
      </c>
      <c r="D276" s="202">
        <v>41061</v>
      </c>
      <c r="E276" s="8">
        <v>89.06</v>
      </c>
      <c r="F276" s="17">
        <f t="shared" si="20"/>
        <v>12</v>
      </c>
      <c r="G276" s="236">
        <f t="shared" si="28"/>
        <v>2.858333333333333E-3</v>
      </c>
      <c r="H276" s="8">
        <f t="shared" si="26"/>
        <v>3.05</v>
      </c>
      <c r="I276" s="8">
        <f t="shared" si="27"/>
        <v>3.05</v>
      </c>
    </row>
    <row r="277" spans="1:9" x14ac:dyDescent="0.2">
      <c r="A277" s="203" t="s">
        <v>587</v>
      </c>
      <c r="B277" s="6" t="s">
        <v>215</v>
      </c>
      <c r="C277" s="6" t="s">
        <v>318</v>
      </c>
      <c r="D277" s="202">
        <v>41091</v>
      </c>
      <c r="E277" s="8">
        <v>-50.79</v>
      </c>
      <c r="F277" s="17">
        <f t="shared" si="20"/>
        <v>12</v>
      </c>
      <c r="G277" s="236">
        <f t="shared" si="28"/>
        <v>2.858333333333333E-3</v>
      </c>
      <c r="H277" s="8">
        <f t="shared" si="26"/>
        <v>-1.74</v>
      </c>
      <c r="I277" s="8">
        <f t="shared" si="27"/>
        <v>-1.74</v>
      </c>
    </row>
    <row r="278" spans="1:9" x14ac:dyDescent="0.2">
      <c r="A278" s="203" t="s">
        <v>587</v>
      </c>
      <c r="B278" s="6" t="s">
        <v>568</v>
      </c>
      <c r="C278" s="6" t="s">
        <v>561</v>
      </c>
      <c r="D278" s="202">
        <v>41091</v>
      </c>
      <c r="E278" s="8">
        <v>20623.66</v>
      </c>
      <c r="F278" s="17">
        <f t="shared" si="20"/>
        <v>12</v>
      </c>
      <c r="G278" s="236">
        <f t="shared" si="28"/>
        <v>2.858333333333333E-3</v>
      </c>
      <c r="H278" s="8">
        <f t="shared" si="26"/>
        <v>707.39</v>
      </c>
      <c r="I278" s="8">
        <f t="shared" si="27"/>
        <v>707.39</v>
      </c>
    </row>
    <row r="279" spans="1:9" x14ac:dyDescent="0.2">
      <c r="E279" s="245"/>
      <c r="G279" s="162"/>
    </row>
    <row r="280" spans="1:9" ht="13.5" thickBot="1" x14ac:dyDescent="0.25">
      <c r="C280" s="12" t="s">
        <v>29</v>
      </c>
      <c r="E280" s="244">
        <f>SUM(E199:E278)</f>
        <v>1435774.1400000001</v>
      </c>
      <c r="F280" s="151"/>
      <c r="G280" s="162"/>
      <c r="H280" s="13">
        <f>SUM(H199:H278)</f>
        <v>36834.359999999986</v>
      </c>
      <c r="I280" s="13">
        <f>SUM(I199:I278)</f>
        <v>49247.029999999984</v>
      </c>
    </row>
    <row r="281" spans="1:9" ht="13.5" thickTop="1" x14ac:dyDescent="0.2">
      <c r="E281" s="182"/>
      <c r="G281" s="162"/>
      <c r="H281" s="14"/>
      <c r="I281" s="14"/>
    </row>
    <row r="282" spans="1:9" ht="13.5" thickBot="1" x14ac:dyDescent="0.25">
      <c r="C282" s="12" t="s">
        <v>30</v>
      </c>
      <c r="E282" s="246">
        <f>E280+E194+E36</f>
        <v>1859000.7500000005</v>
      </c>
      <c r="F282" s="16"/>
      <c r="G282" s="163"/>
      <c r="H282" s="15">
        <f>H280+H194+H36</f>
        <v>41385.819999999985</v>
      </c>
      <c r="I282" s="15">
        <f>I280+I194+I36</f>
        <v>55722.409999999982</v>
      </c>
    </row>
    <row r="283" spans="1:9" ht="13.5" thickTop="1" x14ac:dyDescent="0.2">
      <c r="E283" s="182"/>
      <c r="G283" s="162"/>
      <c r="H283" s="14"/>
      <c r="I283" s="14"/>
    </row>
    <row r="284" spans="1:9" x14ac:dyDescent="0.2">
      <c r="E284" s="245"/>
      <c r="G284" s="162"/>
    </row>
    <row r="285" spans="1:9" x14ac:dyDescent="0.2">
      <c r="A285" s="2" t="s">
        <v>31</v>
      </c>
      <c r="E285" s="245"/>
      <c r="G285" s="162"/>
    </row>
    <row r="286" spans="1:9" x14ac:dyDescent="0.2">
      <c r="E286" s="245"/>
      <c r="G286" s="162"/>
    </row>
    <row r="287" spans="1:9" x14ac:dyDescent="0.2">
      <c r="A287" s="207">
        <v>38000</v>
      </c>
      <c r="B287" s="204" t="s">
        <v>393</v>
      </c>
      <c r="C287" s="6" t="s">
        <v>394</v>
      </c>
      <c r="D287" s="202">
        <v>41277</v>
      </c>
      <c r="E287" s="8">
        <v>6241.79</v>
      </c>
      <c r="F287" s="17">
        <f t="shared" ref="F287:F305" si="29">IF((YEAR($F$1)-YEAR($D287))*12+MONTH($F$1)-MONTH($D287)&gt;12,12,(YEAR($F$1)-YEAR($D287))*12+MONTH($F$1)-MONTH($D287))</f>
        <v>9</v>
      </c>
      <c r="G287" s="236">
        <f t="shared" ref="G287:G305" si="30">0.05/12</f>
        <v>4.1666666666666666E-3</v>
      </c>
      <c r="H287" s="8">
        <f>ROUND(E287*F287*G287,2)</f>
        <v>234.07</v>
      </c>
      <c r="I287" s="8">
        <f>ROUND(E287*G287*12,2)</f>
        <v>312.08999999999997</v>
      </c>
    </row>
    <row r="288" spans="1:9" x14ac:dyDescent="0.2">
      <c r="A288" s="207">
        <v>38000</v>
      </c>
      <c r="B288" s="204" t="s">
        <v>392</v>
      </c>
      <c r="C288" s="6" t="s">
        <v>394</v>
      </c>
      <c r="D288" s="202">
        <v>41366</v>
      </c>
      <c r="E288" s="8">
        <v>7823.0300000000125</v>
      </c>
      <c r="F288" s="17">
        <f t="shared" si="29"/>
        <v>6</v>
      </c>
      <c r="G288" s="236">
        <f t="shared" si="30"/>
        <v>4.1666666666666666E-3</v>
      </c>
      <c r="H288" s="8">
        <f>ROUND(E288*F288*G288,2)</f>
        <v>195.58</v>
      </c>
      <c r="I288" s="8">
        <f>ROUND(E288*G288*12,2)</f>
        <v>391.15</v>
      </c>
    </row>
    <row r="289" spans="1:9" x14ac:dyDescent="0.2">
      <c r="A289" s="207">
        <v>38000</v>
      </c>
      <c r="B289" s="204" t="s">
        <v>391</v>
      </c>
      <c r="C289" s="6" t="s">
        <v>394</v>
      </c>
      <c r="D289" s="202">
        <v>41427</v>
      </c>
      <c r="E289" s="8">
        <v>14639.840000000004</v>
      </c>
      <c r="F289" s="17">
        <f t="shared" si="29"/>
        <v>4</v>
      </c>
      <c r="G289" s="236">
        <f t="shared" si="30"/>
        <v>4.1666666666666666E-3</v>
      </c>
      <c r="H289" s="8">
        <f>ROUND(E289*F289*G289,2)</f>
        <v>244</v>
      </c>
      <c r="I289" s="8">
        <f>ROUND(E289*G289*12,2)</f>
        <v>731.99</v>
      </c>
    </row>
    <row r="290" spans="1:9" x14ac:dyDescent="0.2">
      <c r="A290" s="203" t="s">
        <v>32</v>
      </c>
      <c r="B290" s="204" t="s">
        <v>182</v>
      </c>
      <c r="C290" s="6" t="s">
        <v>347</v>
      </c>
      <c r="D290" s="202">
        <v>41061</v>
      </c>
      <c r="E290" s="243">
        <v>1814.34</v>
      </c>
      <c r="F290" s="17">
        <f t="shared" si="29"/>
        <v>12</v>
      </c>
      <c r="G290" s="236">
        <f t="shared" si="30"/>
        <v>4.1666666666666666E-3</v>
      </c>
      <c r="H290" s="8">
        <f>ROUND(E290*F290*G290,2)</f>
        <v>90.72</v>
      </c>
      <c r="I290" s="8">
        <f>ROUND(E290*G290*12,2)</f>
        <v>90.72</v>
      </c>
    </row>
    <row r="291" spans="1:9" x14ac:dyDescent="0.2">
      <c r="A291" s="203" t="s">
        <v>32</v>
      </c>
      <c r="B291" s="204" t="s">
        <v>216</v>
      </c>
      <c r="C291" s="6" t="s">
        <v>350</v>
      </c>
      <c r="D291" s="202">
        <v>41061</v>
      </c>
      <c r="E291" s="243">
        <v>-14.75</v>
      </c>
      <c r="F291" s="17">
        <f t="shared" si="29"/>
        <v>12</v>
      </c>
      <c r="G291" s="236">
        <f t="shared" si="30"/>
        <v>4.1666666666666666E-3</v>
      </c>
      <c r="H291" s="8">
        <f t="shared" ref="H291:H298" si="31">ROUND(E291*F291*G291,2)</f>
        <v>-0.74</v>
      </c>
      <c r="I291" s="8">
        <f t="shared" ref="I291:I298" si="32">ROUND(E291*G291*12,2)</f>
        <v>-0.74</v>
      </c>
    </row>
    <row r="292" spans="1:9" x14ac:dyDescent="0.2">
      <c r="A292" s="203" t="s">
        <v>32</v>
      </c>
      <c r="B292" s="204" t="s">
        <v>217</v>
      </c>
      <c r="C292" s="6" t="s">
        <v>354</v>
      </c>
      <c r="D292" s="202">
        <v>41061</v>
      </c>
      <c r="E292" s="243">
        <v>-0.22</v>
      </c>
      <c r="F292" s="17">
        <f t="shared" si="29"/>
        <v>12</v>
      </c>
      <c r="G292" s="236">
        <f t="shared" si="30"/>
        <v>4.1666666666666666E-3</v>
      </c>
      <c r="H292" s="8">
        <f t="shared" si="31"/>
        <v>-0.01</v>
      </c>
      <c r="I292" s="8">
        <f t="shared" si="32"/>
        <v>-0.01</v>
      </c>
    </row>
    <row r="293" spans="1:9" x14ac:dyDescent="0.2">
      <c r="A293" s="203" t="s">
        <v>32</v>
      </c>
      <c r="B293" s="204" t="s">
        <v>218</v>
      </c>
      <c r="C293" s="6" t="s">
        <v>357</v>
      </c>
      <c r="D293" s="202">
        <v>41061</v>
      </c>
      <c r="E293" s="243">
        <v>3092.3</v>
      </c>
      <c r="F293" s="17">
        <f t="shared" si="29"/>
        <v>12</v>
      </c>
      <c r="G293" s="236">
        <f t="shared" si="30"/>
        <v>4.1666666666666666E-3</v>
      </c>
      <c r="H293" s="8">
        <f t="shared" si="31"/>
        <v>154.62</v>
      </c>
      <c r="I293" s="8">
        <f t="shared" si="32"/>
        <v>154.62</v>
      </c>
    </row>
    <row r="294" spans="1:9" x14ac:dyDescent="0.2">
      <c r="A294" s="203" t="s">
        <v>32</v>
      </c>
      <c r="B294" s="204" t="s">
        <v>218</v>
      </c>
      <c r="C294" s="6" t="s">
        <v>357</v>
      </c>
      <c r="D294" s="202">
        <v>41091</v>
      </c>
      <c r="E294" s="243">
        <v>4347.03</v>
      </c>
      <c r="F294" s="17">
        <f t="shared" si="29"/>
        <v>12</v>
      </c>
      <c r="G294" s="236">
        <f t="shared" si="30"/>
        <v>4.1666666666666666E-3</v>
      </c>
      <c r="H294" s="8">
        <f t="shared" si="31"/>
        <v>217.35</v>
      </c>
      <c r="I294" s="8">
        <f t="shared" si="32"/>
        <v>217.35</v>
      </c>
    </row>
    <row r="295" spans="1:9" x14ac:dyDescent="0.2">
      <c r="A295" s="203" t="s">
        <v>32</v>
      </c>
      <c r="B295" s="204" t="s">
        <v>219</v>
      </c>
      <c r="C295" s="6" t="s">
        <v>359</v>
      </c>
      <c r="D295" s="202">
        <v>41061</v>
      </c>
      <c r="E295" s="243">
        <v>67.14</v>
      </c>
      <c r="F295" s="17">
        <f t="shared" si="29"/>
        <v>12</v>
      </c>
      <c r="G295" s="236">
        <f t="shared" si="30"/>
        <v>4.1666666666666666E-3</v>
      </c>
      <c r="H295" s="8">
        <f t="shared" si="31"/>
        <v>3.36</v>
      </c>
      <c r="I295" s="8">
        <f t="shared" si="32"/>
        <v>3.36</v>
      </c>
    </row>
    <row r="296" spans="1:9" x14ac:dyDescent="0.2">
      <c r="A296" s="203" t="s">
        <v>32</v>
      </c>
      <c r="B296" s="204" t="s">
        <v>219</v>
      </c>
      <c r="C296" s="6" t="s">
        <v>359</v>
      </c>
      <c r="D296" s="202">
        <v>41091</v>
      </c>
      <c r="E296" s="243">
        <v>276.39</v>
      </c>
      <c r="F296" s="17">
        <f t="shared" si="29"/>
        <v>12</v>
      </c>
      <c r="G296" s="236">
        <f t="shared" si="30"/>
        <v>4.1666666666666666E-3</v>
      </c>
      <c r="H296" s="8">
        <f t="shared" si="31"/>
        <v>13.82</v>
      </c>
      <c r="I296" s="8">
        <f t="shared" si="32"/>
        <v>13.82</v>
      </c>
    </row>
    <row r="297" spans="1:9" x14ac:dyDescent="0.2">
      <c r="A297" s="203" t="s">
        <v>32</v>
      </c>
      <c r="B297" s="204" t="s">
        <v>595</v>
      </c>
      <c r="C297" s="6" t="s">
        <v>555</v>
      </c>
      <c r="D297" s="202">
        <v>41153</v>
      </c>
      <c r="E297" s="8">
        <v>269.84000000000003</v>
      </c>
      <c r="F297" s="17">
        <f t="shared" si="29"/>
        <v>12</v>
      </c>
      <c r="G297" s="236">
        <f t="shared" si="30"/>
        <v>4.1666666666666666E-3</v>
      </c>
      <c r="H297" s="8">
        <f t="shared" si="31"/>
        <v>13.49</v>
      </c>
      <c r="I297" s="8">
        <f t="shared" si="32"/>
        <v>13.49</v>
      </c>
    </row>
    <row r="298" spans="1:9" x14ac:dyDescent="0.2">
      <c r="A298" s="203" t="s">
        <v>32</v>
      </c>
      <c r="B298" s="204" t="s">
        <v>182</v>
      </c>
      <c r="C298" s="6" t="s">
        <v>347</v>
      </c>
      <c r="D298" s="202">
        <v>41153</v>
      </c>
      <c r="E298" s="8">
        <v>361.16</v>
      </c>
      <c r="F298" s="17">
        <f t="shared" si="29"/>
        <v>12</v>
      </c>
      <c r="G298" s="236">
        <f t="shared" si="30"/>
        <v>4.1666666666666666E-3</v>
      </c>
      <c r="H298" s="8">
        <f t="shared" si="31"/>
        <v>18.059999999999999</v>
      </c>
      <c r="I298" s="8">
        <f t="shared" si="32"/>
        <v>18.059999999999999</v>
      </c>
    </row>
    <row r="299" spans="1:9" x14ac:dyDescent="0.2">
      <c r="A299" s="203" t="s">
        <v>32</v>
      </c>
      <c r="B299" s="6" t="s">
        <v>177</v>
      </c>
      <c r="C299" s="6" t="s">
        <v>348</v>
      </c>
      <c r="D299" s="202">
        <v>41153</v>
      </c>
      <c r="E299" s="8">
        <v>2939.25</v>
      </c>
      <c r="F299" s="17">
        <f t="shared" si="29"/>
        <v>12</v>
      </c>
      <c r="G299" s="236">
        <f t="shared" si="30"/>
        <v>4.1666666666666666E-3</v>
      </c>
      <c r="H299" s="8">
        <f t="shared" ref="H299:H305" si="33">ROUND(E299*F299*G299,2)</f>
        <v>146.96</v>
      </c>
      <c r="I299" s="8">
        <f t="shared" ref="I299:I305" si="34">ROUND(E299*G299*12,2)</f>
        <v>146.96</v>
      </c>
    </row>
    <row r="300" spans="1:9" x14ac:dyDescent="0.2">
      <c r="A300" s="203" t="s">
        <v>32</v>
      </c>
      <c r="B300" s="6" t="s">
        <v>216</v>
      </c>
      <c r="C300" s="6" t="s">
        <v>350</v>
      </c>
      <c r="D300" s="202">
        <v>41153</v>
      </c>
      <c r="E300" s="8">
        <v>-3513.17</v>
      </c>
      <c r="F300" s="17">
        <f t="shared" si="29"/>
        <v>12</v>
      </c>
      <c r="G300" s="236">
        <f t="shared" si="30"/>
        <v>4.1666666666666666E-3</v>
      </c>
      <c r="H300" s="8">
        <f t="shared" si="33"/>
        <v>-175.66</v>
      </c>
      <c r="I300" s="8">
        <f t="shared" si="34"/>
        <v>-175.66</v>
      </c>
    </row>
    <row r="301" spans="1:9" x14ac:dyDescent="0.2">
      <c r="A301" s="203" t="s">
        <v>32</v>
      </c>
      <c r="B301" s="6" t="s">
        <v>218</v>
      </c>
      <c r="C301" s="6" t="s">
        <v>357</v>
      </c>
      <c r="D301" s="202">
        <v>41122</v>
      </c>
      <c r="E301" s="8">
        <v>4705.2700000000004</v>
      </c>
      <c r="F301" s="17">
        <f t="shared" si="29"/>
        <v>12</v>
      </c>
      <c r="G301" s="236">
        <f t="shared" si="30"/>
        <v>4.1666666666666666E-3</v>
      </c>
      <c r="H301" s="8">
        <f t="shared" si="33"/>
        <v>235.26</v>
      </c>
      <c r="I301" s="8">
        <f t="shared" si="34"/>
        <v>235.26</v>
      </c>
    </row>
    <row r="302" spans="1:9" x14ac:dyDescent="0.2">
      <c r="A302" s="203" t="s">
        <v>32</v>
      </c>
      <c r="B302" s="6" t="s">
        <v>218</v>
      </c>
      <c r="C302" s="6" t="s">
        <v>357</v>
      </c>
      <c r="D302" s="202">
        <v>41153</v>
      </c>
      <c r="E302" s="8">
        <v>2345.79</v>
      </c>
      <c r="F302" s="17">
        <f t="shared" si="29"/>
        <v>12</v>
      </c>
      <c r="G302" s="236">
        <f t="shared" si="30"/>
        <v>4.1666666666666666E-3</v>
      </c>
      <c r="H302" s="8">
        <f t="shared" si="33"/>
        <v>117.29</v>
      </c>
      <c r="I302" s="8">
        <f t="shared" si="34"/>
        <v>117.29</v>
      </c>
    </row>
    <row r="303" spans="1:9" x14ac:dyDescent="0.2">
      <c r="A303" s="203" t="s">
        <v>32</v>
      </c>
      <c r="B303" s="6" t="s">
        <v>218</v>
      </c>
      <c r="C303" s="6" t="s">
        <v>357</v>
      </c>
      <c r="D303" s="202">
        <v>41183</v>
      </c>
      <c r="E303" s="8">
        <v>4286.7300000000005</v>
      </c>
      <c r="F303" s="17">
        <f t="shared" si="29"/>
        <v>12</v>
      </c>
      <c r="G303" s="236">
        <f t="shared" si="30"/>
        <v>4.1666666666666666E-3</v>
      </c>
      <c r="H303" s="8">
        <f t="shared" si="33"/>
        <v>214.34</v>
      </c>
      <c r="I303" s="8">
        <f t="shared" si="34"/>
        <v>214.34</v>
      </c>
    </row>
    <row r="304" spans="1:9" x14ac:dyDescent="0.2">
      <c r="A304" s="203" t="s">
        <v>32</v>
      </c>
      <c r="B304" s="6" t="s">
        <v>219</v>
      </c>
      <c r="C304" s="6" t="s">
        <v>359</v>
      </c>
      <c r="D304" s="202">
        <v>41122</v>
      </c>
      <c r="E304" s="8">
        <v>436.79</v>
      </c>
      <c r="F304" s="17">
        <f t="shared" si="29"/>
        <v>12</v>
      </c>
      <c r="G304" s="236">
        <f t="shared" si="30"/>
        <v>4.1666666666666666E-3</v>
      </c>
      <c r="H304" s="8">
        <f t="shared" si="33"/>
        <v>21.84</v>
      </c>
      <c r="I304" s="8">
        <f t="shared" si="34"/>
        <v>21.84</v>
      </c>
    </row>
    <row r="305" spans="1:9" x14ac:dyDescent="0.2">
      <c r="A305" s="203" t="s">
        <v>32</v>
      </c>
      <c r="B305" s="6" t="s">
        <v>219</v>
      </c>
      <c r="C305" s="6" t="s">
        <v>359</v>
      </c>
      <c r="D305" s="202">
        <v>41153</v>
      </c>
      <c r="E305" s="8">
        <v>-755.98</v>
      </c>
      <c r="F305" s="17">
        <f t="shared" si="29"/>
        <v>12</v>
      </c>
      <c r="G305" s="236">
        <f t="shared" si="30"/>
        <v>4.1666666666666666E-3</v>
      </c>
      <c r="H305" s="8">
        <f t="shared" si="33"/>
        <v>-37.799999999999997</v>
      </c>
      <c r="I305" s="8">
        <f t="shared" si="34"/>
        <v>-37.799999999999997</v>
      </c>
    </row>
    <row r="306" spans="1:9" x14ac:dyDescent="0.2">
      <c r="A306" s="19"/>
      <c r="B306" s="19"/>
      <c r="C306" s="3"/>
      <c r="D306" s="9"/>
      <c r="E306" s="182"/>
      <c r="F306" s="11"/>
      <c r="G306" s="161"/>
      <c r="H306" s="10"/>
      <c r="I306" s="10"/>
    </row>
    <row r="307" spans="1:9" x14ac:dyDescent="0.2">
      <c r="A307" s="3"/>
      <c r="B307" s="3"/>
      <c r="C307" s="3"/>
      <c r="D307" s="9"/>
      <c r="E307" s="182"/>
      <c r="F307" s="11"/>
      <c r="G307" s="161"/>
      <c r="H307" s="10"/>
      <c r="I307" s="10"/>
    </row>
    <row r="308" spans="1:9" ht="13.5" thickBot="1" x14ac:dyDescent="0.25">
      <c r="A308" s="3"/>
      <c r="B308" s="3"/>
      <c r="C308" s="12" t="s">
        <v>25</v>
      </c>
      <c r="D308" s="9"/>
      <c r="E308" s="244">
        <f>SUM(E287:E305)</f>
        <v>49362.570000000022</v>
      </c>
      <c r="F308" s="151"/>
      <c r="G308" s="161"/>
      <c r="H308" s="13">
        <f>SUM(H287:H305)</f>
        <v>1706.5499999999995</v>
      </c>
      <c r="I308" s="13">
        <f>SUM(I287:I305)</f>
        <v>2468.1299999999997</v>
      </c>
    </row>
    <row r="309" spans="1:9" ht="13.5" thickTop="1" x14ac:dyDescent="0.2">
      <c r="A309" s="3"/>
      <c r="B309" s="3"/>
      <c r="C309" s="3"/>
      <c r="D309" s="9"/>
      <c r="E309" s="182"/>
      <c r="F309" s="11"/>
      <c r="G309" s="161"/>
      <c r="H309" s="10"/>
      <c r="I309" s="10"/>
    </row>
    <row r="310" spans="1:9" x14ac:dyDescent="0.2">
      <c r="A310" s="3"/>
      <c r="B310" s="3"/>
      <c r="C310" s="3"/>
      <c r="D310" s="9"/>
      <c r="E310" s="182"/>
      <c r="F310" s="11"/>
      <c r="G310" s="161"/>
      <c r="H310" s="10"/>
      <c r="I310" s="10"/>
    </row>
    <row r="311" spans="1:9" x14ac:dyDescent="0.2">
      <c r="A311" s="2" t="s">
        <v>33</v>
      </c>
      <c r="B311" s="3"/>
      <c r="C311" s="3"/>
      <c r="D311" s="9"/>
      <c r="E311" s="182"/>
      <c r="F311" s="11"/>
      <c r="G311" s="161"/>
      <c r="H311" s="10"/>
      <c r="I311" s="10"/>
    </row>
    <row r="312" spans="1:9" x14ac:dyDescent="0.2">
      <c r="A312" s="3"/>
      <c r="B312" s="3"/>
      <c r="C312" s="3"/>
      <c r="D312" s="9"/>
      <c r="E312" s="182"/>
      <c r="F312" s="11"/>
      <c r="G312" s="161"/>
      <c r="H312" s="10"/>
      <c r="I312" s="10"/>
    </row>
    <row r="313" spans="1:9" x14ac:dyDescent="0.2">
      <c r="A313" s="206">
        <v>38000</v>
      </c>
      <c r="B313" s="204" t="s">
        <v>454</v>
      </c>
      <c r="C313" s="6" t="s">
        <v>394</v>
      </c>
      <c r="D313" s="202">
        <v>41297</v>
      </c>
      <c r="E313" s="8">
        <v>3525.4700000000012</v>
      </c>
      <c r="F313" s="17">
        <f t="shared" ref="F313:F324" si="35">IF((YEAR($F$1)-YEAR($D313))*12+MONTH($F$1)-MONTH($D313)&gt;12,12,(YEAR($F$1)-YEAR($D313))*12+MONTH($F$1)-MONTH($D313))</f>
        <v>9</v>
      </c>
      <c r="G313" s="236">
        <f t="shared" ref="G313:G373" si="36">0.05/12</f>
        <v>4.1666666666666666E-3</v>
      </c>
      <c r="H313" s="8">
        <f>ROUND(E313*F313*G313,2)</f>
        <v>132.21</v>
      </c>
      <c r="I313" s="8">
        <f>ROUND(E313*G313*12,2)</f>
        <v>176.27</v>
      </c>
    </row>
    <row r="314" spans="1:9" x14ac:dyDescent="0.2">
      <c r="A314" s="206">
        <v>38000</v>
      </c>
      <c r="B314" s="204" t="s">
        <v>455</v>
      </c>
      <c r="C314" s="6" t="s">
        <v>394</v>
      </c>
      <c r="D314" s="202">
        <v>41367</v>
      </c>
      <c r="E314" s="8">
        <v>9802.1700000000073</v>
      </c>
      <c r="F314" s="17">
        <f t="shared" si="35"/>
        <v>6</v>
      </c>
      <c r="G314" s="236">
        <f t="shared" si="36"/>
        <v>4.1666666666666666E-3</v>
      </c>
      <c r="H314" s="8">
        <f>ROUND(E314*F314*G314,2)</f>
        <v>245.05</v>
      </c>
      <c r="I314" s="8">
        <f>ROUND(E314*G314*12,2)</f>
        <v>490.11</v>
      </c>
    </row>
    <row r="315" spans="1:9" x14ac:dyDescent="0.2">
      <c r="A315" s="206">
        <v>38000</v>
      </c>
      <c r="B315" s="204" t="s">
        <v>456</v>
      </c>
      <c r="C315" s="6" t="s">
        <v>394</v>
      </c>
      <c r="D315" s="202">
        <v>41428</v>
      </c>
      <c r="E315" s="8">
        <v>9238.8700000000026</v>
      </c>
      <c r="F315" s="17">
        <f t="shared" si="35"/>
        <v>4</v>
      </c>
      <c r="G315" s="236">
        <f t="shared" si="36"/>
        <v>4.1666666666666666E-3</v>
      </c>
      <c r="H315" s="8">
        <f>ROUND(E315*F315*G315,2)</f>
        <v>153.97999999999999</v>
      </c>
      <c r="I315" s="8">
        <f>ROUND(E315*G315*12,2)</f>
        <v>461.94</v>
      </c>
    </row>
    <row r="316" spans="1:9" x14ac:dyDescent="0.2">
      <c r="A316" s="206">
        <v>38000</v>
      </c>
      <c r="B316" s="204" t="s">
        <v>457</v>
      </c>
      <c r="C316" s="6" t="s">
        <v>394</v>
      </c>
      <c r="D316" s="202">
        <v>41297</v>
      </c>
      <c r="E316" s="8">
        <v>7398.0200000000086</v>
      </c>
      <c r="F316" s="17">
        <f t="shared" si="35"/>
        <v>9</v>
      </c>
      <c r="G316" s="236">
        <f t="shared" si="36"/>
        <v>4.1666666666666666E-3</v>
      </c>
      <c r="H316" s="8">
        <f t="shared" ref="H316:H324" si="37">ROUND(E316*F316*G316,2)</f>
        <v>277.43</v>
      </c>
      <c r="I316" s="8">
        <f t="shared" ref="I316:I324" si="38">ROUND(E316*G316*12,2)</f>
        <v>369.9</v>
      </c>
    </row>
    <row r="317" spans="1:9" x14ac:dyDescent="0.2">
      <c r="A317" s="206">
        <v>38000</v>
      </c>
      <c r="B317" s="204" t="s">
        <v>458</v>
      </c>
      <c r="C317" s="6" t="s">
        <v>394</v>
      </c>
      <c r="D317" s="202">
        <v>41367</v>
      </c>
      <c r="E317" s="8">
        <v>26078.710000000006</v>
      </c>
      <c r="F317" s="17">
        <f t="shared" si="35"/>
        <v>6</v>
      </c>
      <c r="G317" s="236">
        <f t="shared" si="36"/>
        <v>4.1666666666666666E-3</v>
      </c>
      <c r="H317" s="8">
        <f t="shared" si="37"/>
        <v>651.97</v>
      </c>
      <c r="I317" s="8">
        <f t="shared" si="38"/>
        <v>1303.94</v>
      </c>
    </row>
    <row r="318" spans="1:9" x14ac:dyDescent="0.2">
      <c r="A318" s="206">
        <v>38000</v>
      </c>
      <c r="B318" s="204" t="s">
        <v>459</v>
      </c>
      <c r="C318" s="6" t="s">
        <v>394</v>
      </c>
      <c r="D318" s="202">
        <v>41428</v>
      </c>
      <c r="E318" s="8">
        <v>13035.700000000003</v>
      </c>
      <c r="F318" s="17">
        <f t="shared" si="35"/>
        <v>4</v>
      </c>
      <c r="G318" s="236">
        <f t="shared" si="36"/>
        <v>4.1666666666666666E-3</v>
      </c>
      <c r="H318" s="8">
        <f t="shared" si="37"/>
        <v>217.26</v>
      </c>
      <c r="I318" s="8">
        <f t="shared" si="38"/>
        <v>651.79</v>
      </c>
    </row>
    <row r="319" spans="1:9" x14ac:dyDescent="0.2">
      <c r="A319" s="206">
        <v>38000</v>
      </c>
      <c r="B319" s="204" t="s">
        <v>460</v>
      </c>
      <c r="C319" s="6" t="s">
        <v>394</v>
      </c>
      <c r="D319" s="202">
        <v>41297</v>
      </c>
      <c r="E319" s="8">
        <v>12221.30000000001</v>
      </c>
      <c r="F319" s="17">
        <f t="shared" si="35"/>
        <v>9</v>
      </c>
      <c r="G319" s="236">
        <f t="shared" si="36"/>
        <v>4.1666666666666666E-3</v>
      </c>
      <c r="H319" s="8">
        <f t="shared" si="37"/>
        <v>458.3</v>
      </c>
      <c r="I319" s="8">
        <f t="shared" si="38"/>
        <v>611.07000000000005</v>
      </c>
    </row>
    <row r="320" spans="1:9" x14ac:dyDescent="0.2">
      <c r="A320" s="206">
        <v>38000</v>
      </c>
      <c r="B320" s="204" t="s">
        <v>461</v>
      </c>
      <c r="C320" s="6" t="s">
        <v>394</v>
      </c>
      <c r="D320" s="202">
        <v>41367</v>
      </c>
      <c r="E320" s="8">
        <v>7066.8200000000088</v>
      </c>
      <c r="F320" s="17">
        <f t="shared" si="35"/>
        <v>6</v>
      </c>
      <c r="G320" s="236">
        <f t="shared" si="36"/>
        <v>4.1666666666666666E-3</v>
      </c>
      <c r="H320" s="8">
        <f t="shared" si="37"/>
        <v>176.67</v>
      </c>
      <c r="I320" s="8">
        <f t="shared" si="38"/>
        <v>353.34</v>
      </c>
    </row>
    <row r="321" spans="1:9" x14ac:dyDescent="0.2">
      <c r="A321" s="206">
        <v>38000</v>
      </c>
      <c r="B321" s="204" t="s">
        <v>462</v>
      </c>
      <c r="C321" s="6" t="s">
        <v>394</v>
      </c>
      <c r="D321" s="202">
        <v>41428</v>
      </c>
      <c r="E321" s="8">
        <v>9872.1100000000024</v>
      </c>
      <c r="F321" s="17">
        <f t="shared" si="35"/>
        <v>4</v>
      </c>
      <c r="G321" s="236">
        <f t="shared" si="36"/>
        <v>4.1666666666666666E-3</v>
      </c>
      <c r="H321" s="8">
        <f t="shared" si="37"/>
        <v>164.54</v>
      </c>
      <c r="I321" s="8">
        <f t="shared" si="38"/>
        <v>493.61</v>
      </c>
    </row>
    <row r="322" spans="1:9" x14ac:dyDescent="0.2">
      <c r="A322" s="206">
        <v>38000</v>
      </c>
      <c r="B322" s="204" t="s">
        <v>463</v>
      </c>
      <c r="C322" s="6" t="s">
        <v>394</v>
      </c>
      <c r="D322" s="202">
        <v>41297</v>
      </c>
      <c r="E322" s="8">
        <v>25239.900000000009</v>
      </c>
      <c r="F322" s="17">
        <f t="shared" si="35"/>
        <v>9</v>
      </c>
      <c r="G322" s="236">
        <f t="shared" si="36"/>
        <v>4.1666666666666666E-3</v>
      </c>
      <c r="H322" s="8">
        <f t="shared" si="37"/>
        <v>946.5</v>
      </c>
      <c r="I322" s="8">
        <f t="shared" si="38"/>
        <v>1262</v>
      </c>
    </row>
    <row r="323" spans="1:9" x14ac:dyDescent="0.2">
      <c r="A323" s="206">
        <v>38000</v>
      </c>
      <c r="B323" s="204" t="s">
        <v>464</v>
      </c>
      <c r="C323" s="6" t="s">
        <v>394</v>
      </c>
      <c r="D323" s="202">
        <v>41377</v>
      </c>
      <c r="E323" s="8">
        <v>32120.210000000021</v>
      </c>
      <c r="F323" s="17">
        <f t="shared" si="35"/>
        <v>6</v>
      </c>
      <c r="G323" s="236">
        <f t="shared" si="36"/>
        <v>4.1666666666666666E-3</v>
      </c>
      <c r="H323" s="8">
        <f t="shared" si="37"/>
        <v>803.01</v>
      </c>
      <c r="I323" s="8">
        <f t="shared" si="38"/>
        <v>1606.01</v>
      </c>
    </row>
    <row r="324" spans="1:9" x14ac:dyDescent="0.2">
      <c r="A324" s="206">
        <v>38000</v>
      </c>
      <c r="B324" s="204" t="s">
        <v>465</v>
      </c>
      <c r="C324" s="6" t="s">
        <v>394</v>
      </c>
      <c r="D324" s="202">
        <v>41428</v>
      </c>
      <c r="E324" s="8">
        <v>22520.710000000003</v>
      </c>
      <c r="F324" s="17">
        <f t="shared" si="35"/>
        <v>4</v>
      </c>
      <c r="G324" s="236">
        <f t="shared" si="36"/>
        <v>4.1666666666666666E-3</v>
      </c>
      <c r="H324" s="8">
        <f t="shared" si="37"/>
        <v>375.35</v>
      </c>
      <c r="I324" s="8">
        <f t="shared" si="38"/>
        <v>1126.04</v>
      </c>
    </row>
    <row r="325" spans="1:9" x14ac:dyDescent="0.2">
      <c r="A325" s="203" t="s">
        <v>32</v>
      </c>
      <c r="B325" s="190" t="s">
        <v>256</v>
      </c>
      <c r="C325" s="6" t="s">
        <v>289</v>
      </c>
      <c r="D325" s="202">
        <v>41061</v>
      </c>
      <c r="E325" s="243">
        <v>2573.4299999999998</v>
      </c>
      <c r="F325" s="17">
        <f t="shared" ref="F325:F373" si="39">IF((YEAR($F$1)-YEAR($D325))*12+MONTH($F$1)-MONTH($D325)&gt;12,12,(YEAR($F$1)-YEAR($D325))*12+MONTH($F$1)-MONTH($D325))</f>
        <v>12</v>
      </c>
      <c r="G325" s="236">
        <f t="shared" si="36"/>
        <v>4.1666666666666666E-3</v>
      </c>
      <c r="H325" s="8">
        <f t="shared" ref="H325:H357" si="40">ROUND(E325*F325*G325,2)</f>
        <v>128.66999999999999</v>
      </c>
      <c r="I325" s="8">
        <f t="shared" ref="I325:I357" si="41">ROUND(E325*G325*12,2)</f>
        <v>128.66999999999999</v>
      </c>
    </row>
    <row r="326" spans="1:9" x14ac:dyDescent="0.2">
      <c r="A326" s="203" t="s">
        <v>32</v>
      </c>
      <c r="B326" s="190" t="s">
        <v>256</v>
      </c>
      <c r="C326" s="6" t="s">
        <v>289</v>
      </c>
      <c r="D326" s="202">
        <v>41091</v>
      </c>
      <c r="E326" s="243">
        <v>943.96</v>
      </c>
      <c r="F326" s="17">
        <f t="shared" si="39"/>
        <v>12</v>
      </c>
      <c r="G326" s="236">
        <f t="shared" si="36"/>
        <v>4.1666666666666666E-3</v>
      </c>
      <c r="H326" s="8">
        <f t="shared" si="40"/>
        <v>47.2</v>
      </c>
      <c r="I326" s="8">
        <f t="shared" si="41"/>
        <v>47.2</v>
      </c>
    </row>
    <row r="327" spans="1:9" x14ac:dyDescent="0.2">
      <c r="A327" s="203" t="s">
        <v>32</v>
      </c>
      <c r="B327" s="190" t="s">
        <v>257</v>
      </c>
      <c r="C327" s="6" t="s">
        <v>291</v>
      </c>
      <c r="D327" s="202">
        <v>41061</v>
      </c>
      <c r="E327" s="243">
        <v>12036.619999999999</v>
      </c>
      <c r="F327" s="17">
        <f t="shared" si="39"/>
        <v>12</v>
      </c>
      <c r="G327" s="236">
        <f t="shared" si="36"/>
        <v>4.1666666666666666E-3</v>
      </c>
      <c r="H327" s="8">
        <f t="shared" si="40"/>
        <v>601.83000000000004</v>
      </c>
      <c r="I327" s="8">
        <f t="shared" si="41"/>
        <v>601.83000000000004</v>
      </c>
    </row>
    <row r="328" spans="1:9" x14ac:dyDescent="0.2">
      <c r="A328" s="203" t="s">
        <v>32</v>
      </c>
      <c r="B328" s="190" t="s">
        <v>257</v>
      </c>
      <c r="C328" s="6" t="s">
        <v>291</v>
      </c>
      <c r="D328" s="202">
        <v>41091</v>
      </c>
      <c r="E328" s="243">
        <v>14766.17</v>
      </c>
      <c r="F328" s="17">
        <f t="shared" si="39"/>
        <v>12</v>
      </c>
      <c r="G328" s="236">
        <f t="shared" si="36"/>
        <v>4.1666666666666666E-3</v>
      </c>
      <c r="H328" s="8">
        <f t="shared" si="40"/>
        <v>738.31</v>
      </c>
      <c r="I328" s="8">
        <f t="shared" si="41"/>
        <v>738.31</v>
      </c>
    </row>
    <row r="329" spans="1:9" x14ac:dyDescent="0.2">
      <c r="A329" s="203" t="s">
        <v>32</v>
      </c>
      <c r="B329" s="190" t="s">
        <v>258</v>
      </c>
      <c r="C329" s="6" t="s">
        <v>293</v>
      </c>
      <c r="D329" s="202">
        <v>41061</v>
      </c>
      <c r="E329" s="243">
        <v>11588.220000000001</v>
      </c>
      <c r="F329" s="17">
        <f t="shared" si="39"/>
        <v>12</v>
      </c>
      <c r="G329" s="236">
        <f t="shared" si="36"/>
        <v>4.1666666666666666E-3</v>
      </c>
      <c r="H329" s="8">
        <f t="shared" si="40"/>
        <v>579.41</v>
      </c>
      <c r="I329" s="8">
        <f t="shared" si="41"/>
        <v>579.41</v>
      </c>
    </row>
    <row r="330" spans="1:9" x14ac:dyDescent="0.2">
      <c r="A330" s="203" t="s">
        <v>32</v>
      </c>
      <c r="B330" s="190" t="s">
        <v>258</v>
      </c>
      <c r="C330" s="6" t="s">
        <v>293</v>
      </c>
      <c r="D330" s="202">
        <v>41091</v>
      </c>
      <c r="E330" s="243">
        <v>10907.32</v>
      </c>
      <c r="F330" s="17">
        <f t="shared" si="39"/>
        <v>12</v>
      </c>
      <c r="G330" s="236">
        <f t="shared" si="36"/>
        <v>4.1666666666666666E-3</v>
      </c>
      <c r="H330" s="8">
        <f t="shared" si="40"/>
        <v>545.37</v>
      </c>
      <c r="I330" s="8">
        <f t="shared" si="41"/>
        <v>545.37</v>
      </c>
    </row>
    <row r="331" spans="1:9" x14ac:dyDescent="0.2">
      <c r="A331" s="203" t="s">
        <v>32</v>
      </c>
      <c r="B331" s="190" t="s">
        <v>259</v>
      </c>
      <c r="C331" s="6" t="s">
        <v>294</v>
      </c>
      <c r="D331" s="202">
        <v>41061</v>
      </c>
      <c r="E331" s="243">
        <v>3000.18</v>
      </c>
      <c r="F331" s="17">
        <f t="shared" si="39"/>
        <v>12</v>
      </c>
      <c r="G331" s="236">
        <f t="shared" si="36"/>
        <v>4.1666666666666666E-3</v>
      </c>
      <c r="H331" s="8">
        <f t="shared" si="40"/>
        <v>150.01</v>
      </c>
      <c r="I331" s="8">
        <f t="shared" si="41"/>
        <v>150.01</v>
      </c>
    </row>
    <row r="332" spans="1:9" x14ac:dyDescent="0.2">
      <c r="A332" s="203" t="s">
        <v>32</v>
      </c>
      <c r="B332" s="190" t="s">
        <v>259</v>
      </c>
      <c r="C332" s="6" t="s">
        <v>294</v>
      </c>
      <c r="D332" s="202">
        <v>41091</v>
      </c>
      <c r="E332" s="243">
        <v>5269.1900000000014</v>
      </c>
      <c r="F332" s="17">
        <f t="shared" si="39"/>
        <v>12</v>
      </c>
      <c r="G332" s="236">
        <f t="shared" si="36"/>
        <v>4.1666666666666666E-3</v>
      </c>
      <c r="H332" s="8">
        <f t="shared" si="40"/>
        <v>263.45999999999998</v>
      </c>
      <c r="I332" s="8">
        <f t="shared" si="41"/>
        <v>263.45999999999998</v>
      </c>
    </row>
    <row r="333" spans="1:9" x14ac:dyDescent="0.2">
      <c r="A333" s="203" t="s">
        <v>32</v>
      </c>
      <c r="B333" s="190" t="s">
        <v>260</v>
      </c>
      <c r="C333" s="6" t="s">
        <v>322</v>
      </c>
      <c r="D333" s="202">
        <v>41061</v>
      </c>
      <c r="E333" s="243">
        <v>165.45</v>
      </c>
      <c r="F333" s="17">
        <f t="shared" si="39"/>
        <v>12</v>
      </c>
      <c r="G333" s="236">
        <f t="shared" si="36"/>
        <v>4.1666666666666666E-3</v>
      </c>
      <c r="H333" s="8">
        <f t="shared" si="40"/>
        <v>8.27</v>
      </c>
      <c r="I333" s="8">
        <f t="shared" si="41"/>
        <v>8.27</v>
      </c>
    </row>
    <row r="334" spans="1:9" x14ac:dyDescent="0.2">
      <c r="A334" s="203" t="s">
        <v>32</v>
      </c>
      <c r="B334" s="190" t="s">
        <v>260</v>
      </c>
      <c r="C334" s="6" t="s">
        <v>322</v>
      </c>
      <c r="D334" s="202">
        <v>41091</v>
      </c>
      <c r="E334" s="243">
        <v>-123.85</v>
      </c>
      <c r="F334" s="17">
        <f t="shared" si="39"/>
        <v>12</v>
      </c>
      <c r="G334" s="236">
        <f t="shared" si="36"/>
        <v>4.1666666666666666E-3</v>
      </c>
      <c r="H334" s="8">
        <f t="shared" si="40"/>
        <v>-6.19</v>
      </c>
      <c r="I334" s="8">
        <f t="shared" si="41"/>
        <v>-6.19</v>
      </c>
    </row>
    <row r="335" spans="1:9" x14ac:dyDescent="0.2">
      <c r="A335" s="203" t="s">
        <v>32</v>
      </c>
      <c r="B335" s="190" t="s">
        <v>361</v>
      </c>
      <c r="C335" s="6" t="s">
        <v>324</v>
      </c>
      <c r="D335" s="202">
        <v>41061</v>
      </c>
      <c r="E335" s="243">
        <v>1524.35</v>
      </c>
      <c r="F335" s="17">
        <f t="shared" si="39"/>
        <v>12</v>
      </c>
      <c r="G335" s="236">
        <f t="shared" si="36"/>
        <v>4.1666666666666666E-3</v>
      </c>
      <c r="H335" s="8">
        <f t="shared" si="40"/>
        <v>76.22</v>
      </c>
      <c r="I335" s="8">
        <f t="shared" si="41"/>
        <v>76.22</v>
      </c>
    </row>
    <row r="336" spans="1:9" x14ac:dyDescent="0.2">
      <c r="A336" s="203" t="s">
        <v>32</v>
      </c>
      <c r="B336" s="190" t="s">
        <v>361</v>
      </c>
      <c r="C336" s="6" t="s">
        <v>324</v>
      </c>
      <c r="D336" s="202">
        <v>41091</v>
      </c>
      <c r="E336" s="243">
        <v>-566.15000000000009</v>
      </c>
      <c r="F336" s="17">
        <f t="shared" si="39"/>
        <v>12</v>
      </c>
      <c r="G336" s="236">
        <f t="shared" si="36"/>
        <v>4.1666666666666666E-3</v>
      </c>
      <c r="H336" s="8">
        <f t="shared" si="40"/>
        <v>-28.31</v>
      </c>
      <c r="I336" s="8">
        <f t="shared" si="41"/>
        <v>-28.31</v>
      </c>
    </row>
    <row r="337" spans="1:9" x14ac:dyDescent="0.2">
      <c r="A337" s="203" t="s">
        <v>32</v>
      </c>
      <c r="B337" s="190" t="s">
        <v>261</v>
      </c>
      <c r="C337" s="6" t="s">
        <v>326</v>
      </c>
      <c r="D337" s="202">
        <v>41061</v>
      </c>
      <c r="E337" s="243">
        <v>29874.400000000001</v>
      </c>
      <c r="F337" s="17">
        <f t="shared" si="39"/>
        <v>12</v>
      </c>
      <c r="G337" s="236">
        <f t="shared" si="36"/>
        <v>4.1666666666666666E-3</v>
      </c>
      <c r="H337" s="8">
        <f t="shared" si="40"/>
        <v>1493.72</v>
      </c>
      <c r="I337" s="8">
        <f t="shared" si="41"/>
        <v>1493.72</v>
      </c>
    </row>
    <row r="338" spans="1:9" x14ac:dyDescent="0.2">
      <c r="A338" s="203" t="s">
        <v>32</v>
      </c>
      <c r="B338" s="190" t="s">
        <v>261</v>
      </c>
      <c r="C338" s="6" t="s">
        <v>326</v>
      </c>
      <c r="D338" s="202">
        <v>41091</v>
      </c>
      <c r="E338" s="243">
        <v>210.76</v>
      </c>
      <c r="F338" s="17">
        <f t="shared" si="39"/>
        <v>12</v>
      </c>
      <c r="G338" s="236">
        <f t="shared" si="36"/>
        <v>4.1666666666666666E-3</v>
      </c>
      <c r="H338" s="8">
        <f t="shared" si="40"/>
        <v>10.54</v>
      </c>
      <c r="I338" s="8">
        <f t="shared" si="41"/>
        <v>10.54</v>
      </c>
    </row>
    <row r="339" spans="1:9" x14ac:dyDescent="0.2">
      <c r="A339" s="203" t="s">
        <v>32</v>
      </c>
      <c r="B339" s="190" t="s">
        <v>262</v>
      </c>
      <c r="C339" s="6" t="s">
        <v>327</v>
      </c>
      <c r="D339" s="202">
        <v>41061</v>
      </c>
      <c r="E339" s="243">
        <v>3277.54</v>
      </c>
      <c r="F339" s="17">
        <f t="shared" si="39"/>
        <v>12</v>
      </c>
      <c r="G339" s="236">
        <f t="shared" si="36"/>
        <v>4.1666666666666666E-3</v>
      </c>
      <c r="H339" s="8">
        <f t="shared" si="40"/>
        <v>163.88</v>
      </c>
      <c r="I339" s="8">
        <f t="shared" si="41"/>
        <v>163.88</v>
      </c>
    </row>
    <row r="340" spans="1:9" x14ac:dyDescent="0.2">
      <c r="A340" s="203" t="s">
        <v>32</v>
      </c>
      <c r="B340" s="190" t="s">
        <v>262</v>
      </c>
      <c r="C340" s="6" t="s">
        <v>327</v>
      </c>
      <c r="D340" s="202">
        <v>41091</v>
      </c>
      <c r="E340" s="243">
        <v>826.48000000000013</v>
      </c>
      <c r="F340" s="17">
        <f t="shared" si="39"/>
        <v>12</v>
      </c>
      <c r="G340" s="236">
        <f t="shared" si="36"/>
        <v>4.1666666666666666E-3</v>
      </c>
      <c r="H340" s="8">
        <f t="shared" si="40"/>
        <v>41.32</v>
      </c>
      <c r="I340" s="8">
        <f t="shared" si="41"/>
        <v>41.32</v>
      </c>
    </row>
    <row r="341" spans="1:9" x14ac:dyDescent="0.2">
      <c r="A341" s="203" t="s">
        <v>32</v>
      </c>
      <c r="B341" s="190" t="s">
        <v>589</v>
      </c>
      <c r="C341" s="6" t="s">
        <v>266</v>
      </c>
      <c r="D341" s="202">
        <v>41153</v>
      </c>
      <c r="E341" s="243">
        <v>313.03000000000003</v>
      </c>
      <c r="F341" s="17">
        <f t="shared" si="39"/>
        <v>12</v>
      </c>
      <c r="G341" s="236">
        <f t="shared" si="36"/>
        <v>4.1666666666666666E-3</v>
      </c>
      <c r="H341" s="8">
        <f t="shared" si="40"/>
        <v>15.65</v>
      </c>
      <c r="I341" s="8">
        <f t="shared" si="41"/>
        <v>15.65</v>
      </c>
    </row>
    <row r="342" spans="1:9" x14ac:dyDescent="0.2">
      <c r="A342" s="203" t="s">
        <v>32</v>
      </c>
      <c r="B342" s="190" t="s">
        <v>596</v>
      </c>
      <c r="C342" s="6" t="s">
        <v>267</v>
      </c>
      <c r="D342" s="202">
        <v>41153</v>
      </c>
      <c r="E342" s="243">
        <v>516.65</v>
      </c>
      <c r="F342" s="17">
        <f t="shared" si="39"/>
        <v>12</v>
      </c>
      <c r="G342" s="236">
        <f t="shared" si="36"/>
        <v>4.1666666666666666E-3</v>
      </c>
      <c r="H342" s="8">
        <f t="shared" si="40"/>
        <v>25.83</v>
      </c>
      <c r="I342" s="8">
        <f t="shared" si="41"/>
        <v>25.83</v>
      </c>
    </row>
    <row r="343" spans="1:9" x14ac:dyDescent="0.2">
      <c r="A343" s="203" t="s">
        <v>32</v>
      </c>
      <c r="B343" s="190" t="s">
        <v>597</v>
      </c>
      <c r="C343" s="6" t="s">
        <v>269</v>
      </c>
      <c r="D343" s="202">
        <v>41153</v>
      </c>
      <c r="E343" s="243">
        <v>7551.45</v>
      </c>
      <c r="F343" s="17">
        <f t="shared" si="39"/>
        <v>12</v>
      </c>
      <c r="G343" s="236">
        <f t="shared" si="36"/>
        <v>4.1666666666666666E-3</v>
      </c>
      <c r="H343" s="8">
        <f t="shared" si="40"/>
        <v>377.57</v>
      </c>
      <c r="I343" s="8">
        <f t="shared" si="41"/>
        <v>377.57</v>
      </c>
    </row>
    <row r="344" spans="1:9" x14ac:dyDescent="0.2">
      <c r="A344" s="203" t="s">
        <v>32</v>
      </c>
      <c r="B344" s="190" t="s">
        <v>590</v>
      </c>
      <c r="C344" s="6" t="s">
        <v>270</v>
      </c>
      <c r="D344" s="202">
        <v>41153</v>
      </c>
      <c r="E344" s="243">
        <v>425.69</v>
      </c>
      <c r="F344" s="17">
        <f t="shared" si="39"/>
        <v>12</v>
      </c>
      <c r="G344" s="236">
        <f t="shared" si="36"/>
        <v>4.1666666666666666E-3</v>
      </c>
      <c r="H344" s="8">
        <f t="shared" si="40"/>
        <v>21.28</v>
      </c>
      <c r="I344" s="8">
        <f t="shared" si="41"/>
        <v>21.28</v>
      </c>
    </row>
    <row r="345" spans="1:9" x14ac:dyDescent="0.2">
      <c r="A345" s="203" t="s">
        <v>32</v>
      </c>
      <c r="B345" s="190" t="s">
        <v>588</v>
      </c>
      <c r="C345" s="6" t="s">
        <v>272</v>
      </c>
      <c r="D345" s="202">
        <v>41153</v>
      </c>
      <c r="E345" s="243">
        <v>217.06</v>
      </c>
      <c r="F345" s="17">
        <f t="shared" si="39"/>
        <v>12</v>
      </c>
      <c r="G345" s="236">
        <f t="shared" si="36"/>
        <v>4.1666666666666666E-3</v>
      </c>
      <c r="H345" s="8">
        <f t="shared" si="40"/>
        <v>10.85</v>
      </c>
      <c r="I345" s="8">
        <f t="shared" si="41"/>
        <v>10.85</v>
      </c>
    </row>
    <row r="346" spans="1:9" x14ac:dyDescent="0.2">
      <c r="A346" s="203" t="s">
        <v>32</v>
      </c>
      <c r="B346" s="190" t="s">
        <v>591</v>
      </c>
      <c r="C346" s="6" t="s">
        <v>273</v>
      </c>
      <c r="D346" s="202">
        <v>41153</v>
      </c>
      <c r="E346" s="243">
        <v>5162.13</v>
      </c>
      <c r="F346" s="17">
        <f t="shared" si="39"/>
        <v>12</v>
      </c>
      <c r="G346" s="236">
        <f t="shared" si="36"/>
        <v>4.1666666666666666E-3</v>
      </c>
      <c r="H346" s="8">
        <f t="shared" si="40"/>
        <v>258.11</v>
      </c>
      <c r="I346" s="8">
        <f t="shared" si="41"/>
        <v>258.11</v>
      </c>
    </row>
    <row r="347" spans="1:9" x14ac:dyDescent="0.2">
      <c r="A347" s="203" t="s">
        <v>32</v>
      </c>
      <c r="B347" s="190" t="s">
        <v>183</v>
      </c>
      <c r="C347" s="6" t="s">
        <v>275</v>
      </c>
      <c r="D347" s="202">
        <v>41153</v>
      </c>
      <c r="E347" s="243">
        <v>1305.52</v>
      </c>
      <c r="F347" s="17">
        <f t="shared" si="39"/>
        <v>12</v>
      </c>
      <c r="G347" s="236">
        <f t="shared" si="36"/>
        <v>4.1666666666666666E-3</v>
      </c>
      <c r="H347" s="8">
        <f t="shared" si="40"/>
        <v>65.28</v>
      </c>
      <c r="I347" s="8">
        <f t="shared" si="41"/>
        <v>65.28</v>
      </c>
    </row>
    <row r="348" spans="1:9" x14ac:dyDescent="0.2">
      <c r="A348" s="203" t="s">
        <v>32</v>
      </c>
      <c r="B348" s="190" t="s">
        <v>190</v>
      </c>
      <c r="C348" s="6" t="s">
        <v>277</v>
      </c>
      <c r="D348" s="202">
        <v>41153</v>
      </c>
      <c r="E348" s="243">
        <v>940.82</v>
      </c>
      <c r="F348" s="17">
        <f t="shared" si="39"/>
        <v>12</v>
      </c>
      <c r="G348" s="236">
        <f t="shared" si="36"/>
        <v>4.1666666666666666E-3</v>
      </c>
      <c r="H348" s="8">
        <f t="shared" si="40"/>
        <v>47.04</v>
      </c>
      <c r="I348" s="8">
        <f t="shared" si="41"/>
        <v>47.04</v>
      </c>
    </row>
    <row r="349" spans="1:9" x14ac:dyDescent="0.2">
      <c r="A349" s="203" t="s">
        <v>32</v>
      </c>
      <c r="B349" s="190" t="s">
        <v>191</v>
      </c>
      <c r="C349" s="6" t="s">
        <v>278</v>
      </c>
      <c r="D349" s="202">
        <v>41153</v>
      </c>
      <c r="E349" s="243">
        <v>7095.03</v>
      </c>
      <c r="F349" s="17">
        <f t="shared" si="39"/>
        <v>12</v>
      </c>
      <c r="G349" s="236">
        <f t="shared" si="36"/>
        <v>4.1666666666666666E-3</v>
      </c>
      <c r="H349" s="8">
        <f t="shared" si="40"/>
        <v>354.75</v>
      </c>
      <c r="I349" s="8">
        <f t="shared" si="41"/>
        <v>354.75</v>
      </c>
    </row>
    <row r="350" spans="1:9" x14ac:dyDescent="0.2">
      <c r="A350" s="203" t="s">
        <v>32</v>
      </c>
      <c r="B350" s="190" t="s">
        <v>192</v>
      </c>
      <c r="C350" s="6" t="s">
        <v>280</v>
      </c>
      <c r="D350" s="202">
        <v>41153</v>
      </c>
      <c r="E350" s="8">
        <v>368.1</v>
      </c>
      <c r="F350" s="17">
        <f t="shared" si="39"/>
        <v>12</v>
      </c>
      <c r="G350" s="236">
        <f t="shared" si="36"/>
        <v>4.1666666666666666E-3</v>
      </c>
      <c r="H350" s="8">
        <f t="shared" si="40"/>
        <v>18.41</v>
      </c>
      <c r="I350" s="8">
        <f t="shared" si="41"/>
        <v>18.41</v>
      </c>
    </row>
    <row r="351" spans="1:9" x14ac:dyDescent="0.2">
      <c r="A351" s="203" t="s">
        <v>32</v>
      </c>
      <c r="B351" s="190" t="s">
        <v>193</v>
      </c>
      <c r="C351" s="6" t="s">
        <v>281</v>
      </c>
      <c r="D351" s="202">
        <v>41153</v>
      </c>
      <c r="E351" s="8">
        <v>6486.2300000000005</v>
      </c>
      <c r="F351" s="17">
        <f t="shared" si="39"/>
        <v>12</v>
      </c>
      <c r="G351" s="236">
        <f t="shared" si="36"/>
        <v>4.1666666666666666E-3</v>
      </c>
      <c r="H351" s="8">
        <f t="shared" si="40"/>
        <v>324.31</v>
      </c>
      <c r="I351" s="8">
        <f t="shared" si="41"/>
        <v>324.31</v>
      </c>
    </row>
    <row r="352" spans="1:9" x14ac:dyDescent="0.2">
      <c r="A352" s="203" t="s">
        <v>32</v>
      </c>
      <c r="B352" s="190" t="s">
        <v>256</v>
      </c>
      <c r="C352" s="6" t="s">
        <v>289</v>
      </c>
      <c r="D352" s="202">
        <v>41122</v>
      </c>
      <c r="E352" s="8">
        <v>6532.92</v>
      </c>
      <c r="F352" s="17">
        <f t="shared" si="39"/>
        <v>12</v>
      </c>
      <c r="G352" s="236">
        <f t="shared" si="36"/>
        <v>4.1666666666666666E-3</v>
      </c>
      <c r="H352" s="8">
        <f t="shared" si="40"/>
        <v>326.64999999999998</v>
      </c>
      <c r="I352" s="8">
        <f t="shared" si="41"/>
        <v>326.64999999999998</v>
      </c>
    </row>
    <row r="353" spans="1:9" x14ac:dyDescent="0.2">
      <c r="A353" s="203" t="s">
        <v>32</v>
      </c>
      <c r="B353" s="190" t="s">
        <v>256</v>
      </c>
      <c r="C353" s="6" t="s">
        <v>289</v>
      </c>
      <c r="D353" s="202">
        <v>41153</v>
      </c>
      <c r="E353" s="8">
        <v>26748.07</v>
      </c>
      <c r="F353" s="17">
        <f t="shared" si="39"/>
        <v>12</v>
      </c>
      <c r="G353" s="236">
        <f t="shared" si="36"/>
        <v>4.1666666666666666E-3</v>
      </c>
      <c r="H353" s="8">
        <f t="shared" si="40"/>
        <v>1337.4</v>
      </c>
      <c r="I353" s="8">
        <f t="shared" si="41"/>
        <v>1337.4</v>
      </c>
    </row>
    <row r="354" spans="1:9" x14ac:dyDescent="0.2">
      <c r="A354" s="203" t="s">
        <v>32</v>
      </c>
      <c r="B354" s="155" t="s">
        <v>256</v>
      </c>
      <c r="C354" s="6" t="s">
        <v>289</v>
      </c>
      <c r="D354" s="202">
        <v>41183</v>
      </c>
      <c r="E354" s="8">
        <v>1135.21</v>
      </c>
      <c r="F354" s="17">
        <f t="shared" si="39"/>
        <v>12</v>
      </c>
      <c r="G354" s="236">
        <f t="shared" si="36"/>
        <v>4.1666666666666666E-3</v>
      </c>
      <c r="H354" s="8">
        <f t="shared" si="40"/>
        <v>56.76</v>
      </c>
      <c r="I354" s="8">
        <f t="shared" si="41"/>
        <v>56.76</v>
      </c>
    </row>
    <row r="355" spans="1:9" x14ac:dyDescent="0.2">
      <c r="A355" s="203" t="s">
        <v>32</v>
      </c>
      <c r="B355" s="155" t="s">
        <v>257</v>
      </c>
      <c r="C355" s="6" t="s">
        <v>291</v>
      </c>
      <c r="D355" s="202">
        <v>41122</v>
      </c>
      <c r="E355" s="8">
        <v>1532.14</v>
      </c>
      <c r="F355" s="17">
        <f t="shared" si="39"/>
        <v>12</v>
      </c>
      <c r="G355" s="236">
        <f t="shared" si="36"/>
        <v>4.1666666666666666E-3</v>
      </c>
      <c r="H355" s="8">
        <f t="shared" si="40"/>
        <v>76.61</v>
      </c>
      <c r="I355" s="8">
        <f t="shared" si="41"/>
        <v>76.61</v>
      </c>
    </row>
    <row r="356" spans="1:9" x14ac:dyDescent="0.2">
      <c r="A356" s="203" t="s">
        <v>32</v>
      </c>
      <c r="B356" s="155" t="s">
        <v>257</v>
      </c>
      <c r="C356" s="6" t="s">
        <v>291</v>
      </c>
      <c r="D356" s="202">
        <v>41153</v>
      </c>
      <c r="E356" s="8">
        <v>14256.61</v>
      </c>
      <c r="F356" s="17">
        <f t="shared" si="39"/>
        <v>12</v>
      </c>
      <c r="G356" s="236">
        <f t="shared" si="36"/>
        <v>4.1666666666666666E-3</v>
      </c>
      <c r="H356" s="8">
        <f t="shared" si="40"/>
        <v>712.83</v>
      </c>
      <c r="I356" s="8">
        <f t="shared" si="41"/>
        <v>712.83</v>
      </c>
    </row>
    <row r="357" spans="1:9" x14ac:dyDescent="0.2">
      <c r="A357" s="203" t="s">
        <v>32</v>
      </c>
      <c r="B357" s="155" t="s">
        <v>257</v>
      </c>
      <c r="C357" s="6" t="s">
        <v>291</v>
      </c>
      <c r="D357" s="202">
        <v>41183</v>
      </c>
      <c r="E357" s="8">
        <v>11621.41</v>
      </c>
      <c r="F357" s="17">
        <f t="shared" si="39"/>
        <v>12</v>
      </c>
      <c r="G357" s="236">
        <f t="shared" si="36"/>
        <v>4.1666666666666666E-3</v>
      </c>
      <c r="H357" s="8">
        <f t="shared" si="40"/>
        <v>581.07000000000005</v>
      </c>
      <c r="I357" s="8">
        <f t="shared" si="41"/>
        <v>581.07000000000005</v>
      </c>
    </row>
    <row r="358" spans="1:9" x14ac:dyDescent="0.2">
      <c r="A358" s="203" t="s">
        <v>32</v>
      </c>
      <c r="B358" s="6" t="s">
        <v>258</v>
      </c>
      <c r="C358" s="6" t="s">
        <v>293</v>
      </c>
      <c r="D358" s="202">
        <v>41122</v>
      </c>
      <c r="E358" s="8">
        <v>7311.9000000000005</v>
      </c>
      <c r="F358" s="17">
        <f t="shared" si="39"/>
        <v>12</v>
      </c>
      <c r="G358" s="236">
        <f t="shared" si="36"/>
        <v>4.1666666666666666E-3</v>
      </c>
      <c r="H358" s="8">
        <f t="shared" ref="H358:H373" si="42">ROUND(E358*F358*G358,2)</f>
        <v>365.6</v>
      </c>
      <c r="I358" s="8">
        <f t="shared" ref="I358:I373" si="43">ROUND(E358*G358*12,2)</f>
        <v>365.6</v>
      </c>
    </row>
    <row r="359" spans="1:9" x14ac:dyDescent="0.2">
      <c r="A359" s="203" t="s">
        <v>32</v>
      </c>
      <c r="B359" s="6" t="s">
        <v>258</v>
      </c>
      <c r="C359" s="6" t="s">
        <v>293</v>
      </c>
      <c r="D359" s="202">
        <v>41153</v>
      </c>
      <c r="E359" s="8">
        <v>2239.96</v>
      </c>
      <c r="F359" s="17">
        <f t="shared" si="39"/>
        <v>12</v>
      </c>
      <c r="G359" s="236">
        <f t="shared" si="36"/>
        <v>4.1666666666666666E-3</v>
      </c>
      <c r="H359" s="8">
        <f t="shared" si="42"/>
        <v>112</v>
      </c>
      <c r="I359" s="8">
        <f t="shared" si="43"/>
        <v>112</v>
      </c>
    </row>
    <row r="360" spans="1:9" x14ac:dyDescent="0.2">
      <c r="A360" s="203" t="s">
        <v>32</v>
      </c>
      <c r="B360" s="6" t="s">
        <v>258</v>
      </c>
      <c r="C360" s="6" t="s">
        <v>293</v>
      </c>
      <c r="D360" s="202">
        <v>41183</v>
      </c>
      <c r="E360" s="8">
        <v>5838.76</v>
      </c>
      <c r="F360" s="17">
        <f t="shared" si="39"/>
        <v>12</v>
      </c>
      <c r="G360" s="236">
        <f t="shared" si="36"/>
        <v>4.1666666666666666E-3</v>
      </c>
      <c r="H360" s="8">
        <f t="shared" si="42"/>
        <v>291.94</v>
      </c>
      <c r="I360" s="8">
        <f t="shared" si="43"/>
        <v>291.94</v>
      </c>
    </row>
    <row r="361" spans="1:9" x14ac:dyDescent="0.2">
      <c r="A361" s="203" t="s">
        <v>32</v>
      </c>
      <c r="B361" s="6" t="s">
        <v>259</v>
      </c>
      <c r="C361" s="6" t="s">
        <v>294</v>
      </c>
      <c r="D361" s="202">
        <v>41122</v>
      </c>
      <c r="E361" s="8">
        <v>1364.8</v>
      </c>
      <c r="F361" s="17">
        <f t="shared" si="39"/>
        <v>12</v>
      </c>
      <c r="G361" s="236">
        <f t="shared" si="36"/>
        <v>4.1666666666666666E-3</v>
      </c>
      <c r="H361" s="8">
        <f t="shared" si="42"/>
        <v>68.239999999999995</v>
      </c>
      <c r="I361" s="8">
        <f t="shared" si="43"/>
        <v>68.239999999999995</v>
      </c>
    </row>
    <row r="362" spans="1:9" x14ac:dyDescent="0.2">
      <c r="A362" s="203" t="s">
        <v>32</v>
      </c>
      <c r="B362" s="6" t="s">
        <v>259</v>
      </c>
      <c r="C362" s="6" t="s">
        <v>294</v>
      </c>
      <c r="D362" s="202">
        <v>41153</v>
      </c>
      <c r="E362" s="8">
        <v>6306.1</v>
      </c>
      <c r="F362" s="17">
        <f t="shared" si="39"/>
        <v>12</v>
      </c>
      <c r="G362" s="236">
        <f t="shared" si="36"/>
        <v>4.1666666666666666E-3</v>
      </c>
      <c r="H362" s="8">
        <f t="shared" si="42"/>
        <v>315.31</v>
      </c>
      <c r="I362" s="8">
        <f t="shared" si="43"/>
        <v>315.31</v>
      </c>
    </row>
    <row r="363" spans="1:9" x14ac:dyDescent="0.2">
      <c r="A363" s="203" t="s">
        <v>32</v>
      </c>
      <c r="B363" s="6" t="s">
        <v>259</v>
      </c>
      <c r="C363" s="6" t="s">
        <v>294</v>
      </c>
      <c r="D363" s="202">
        <v>41183</v>
      </c>
      <c r="E363" s="8">
        <v>4919.57</v>
      </c>
      <c r="F363" s="17">
        <f t="shared" si="39"/>
        <v>12</v>
      </c>
      <c r="G363" s="236">
        <f t="shared" si="36"/>
        <v>4.1666666666666666E-3</v>
      </c>
      <c r="H363" s="8">
        <f t="shared" si="42"/>
        <v>245.98</v>
      </c>
      <c r="I363" s="8">
        <f t="shared" si="43"/>
        <v>245.98</v>
      </c>
    </row>
    <row r="364" spans="1:9" x14ac:dyDescent="0.2">
      <c r="A364" s="203" t="s">
        <v>32</v>
      </c>
      <c r="B364" s="6" t="s">
        <v>260</v>
      </c>
      <c r="C364" s="6" t="s">
        <v>322</v>
      </c>
      <c r="D364" s="202">
        <v>41122</v>
      </c>
      <c r="E364" s="8">
        <v>283.39</v>
      </c>
      <c r="F364" s="17">
        <f t="shared" si="39"/>
        <v>12</v>
      </c>
      <c r="G364" s="236">
        <f t="shared" si="36"/>
        <v>4.1666666666666666E-3</v>
      </c>
      <c r="H364" s="8">
        <f t="shared" si="42"/>
        <v>14.17</v>
      </c>
      <c r="I364" s="8">
        <f t="shared" si="43"/>
        <v>14.17</v>
      </c>
    </row>
    <row r="365" spans="1:9" x14ac:dyDescent="0.2">
      <c r="A365" s="203" t="s">
        <v>32</v>
      </c>
      <c r="B365" s="6" t="s">
        <v>260</v>
      </c>
      <c r="C365" s="6" t="s">
        <v>322</v>
      </c>
      <c r="D365" s="202">
        <v>41153</v>
      </c>
      <c r="E365" s="8">
        <v>-7885.47</v>
      </c>
      <c r="F365" s="17">
        <f t="shared" si="39"/>
        <v>12</v>
      </c>
      <c r="G365" s="236">
        <f t="shared" si="36"/>
        <v>4.1666666666666666E-3</v>
      </c>
      <c r="H365" s="8">
        <f t="shared" si="42"/>
        <v>-394.27</v>
      </c>
      <c r="I365" s="8">
        <f t="shared" si="43"/>
        <v>-394.27</v>
      </c>
    </row>
    <row r="366" spans="1:9" x14ac:dyDescent="0.2">
      <c r="A366" s="203" t="s">
        <v>32</v>
      </c>
      <c r="B366" s="6" t="s">
        <v>260</v>
      </c>
      <c r="C366" s="6" t="s">
        <v>322</v>
      </c>
      <c r="D366" s="202">
        <v>41183</v>
      </c>
      <c r="E366" s="8">
        <v>123.31</v>
      </c>
      <c r="F366" s="17">
        <f t="shared" si="39"/>
        <v>12</v>
      </c>
      <c r="G366" s="236">
        <f t="shared" si="36"/>
        <v>4.1666666666666666E-3</v>
      </c>
      <c r="H366" s="8">
        <f t="shared" si="42"/>
        <v>6.17</v>
      </c>
      <c r="I366" s="8">
        <f t="shared" si="43"/>
        <v>6.17</v>
      </c>
    </row>
    <row r="367" spans="1:9" x14ac:dyDescent="0.2">
      <c r="A367" s="203" t="s">
        <v>32</v>
      </c>
      <c r="B367" s="6" t="s">
        <v>361</v>
      </c>
      <c r="C367" s="6" t="s">
        <v>324</v>
      </c>
      <c r="D367" s="202">
        <v>41122</v>
      </c>
      <c r="E367" s="8">
        <v>7798.32</v>
      </c>
      <c r="F367" s="17">
        <f t="shared" si="39"/>
        <v>12</v>
      </c>
      <c r="G367" s="236">
        <f t="shared" si="36"/>
        <v>4.1666666666666666E-3</v>
      </c>
      <c r="H367" s="8">
        <f t="shared" si="42"/>
        <v>389.92</v>
      </c>
      <c r="I367" s="8">
        <f t="shared" si="43"/>
        <v>389.92</v>
      </c>
    </row>
    <row r="368" spans="1:9" x14ac:dyDescent="0.2">
      <c r="A368" s="203" t="s">
        <v>32</v>
      </c>
      <c r="B368" s="6" t="s">
        <v>361</v>
      </c>
      <c r="C368" s="6" t="s">
        <v>324</v>
      </c>
      <c r="D368" s="202">
        <v>41153</v>
      </c>
      <c r="E368" s="8">
        <v>6064.81</v>
      </c>
      <c r="F368" s="17">
        <f t="shared" si="39"/>
        <v>12</v>
      </c>
      <c r="G368" s="236">
        <f t="shared" si="36"/>
        <v>4.1666666666666666E-3</v>
      </c>
      <c r="H368" s="8">
        <f t="shared" si="42"/>
        <v>303.24</v>
      </c>
      <c r="I368" s="8">
        <f t="shared" si="43"/>
        <v>303.24</v>
      </c>
    </row>
    <row r="369" spans="1:9" x14ac:dyDescent="0.2">
      <c r="A369" s="203" t="s">
        <v>32</v>
      </c>
      <c r="B369" s="6" t="s">
        <v>361</v>
      </c>
      <c r="C369" s="6" t="s">
        <v>324</v>
      </c>
      <c r="D369" s="202">
        <v>41183</v>
      </c>
      <c r="E369" s="8">
        <v>2790.52</v>
      </c>
      <c r="F369" s="17">
        <f t="shared" si="39"/>
        <v>12</v>
      </c>
      <c r="G369" s="236">
        <f t="shared" si="36"/>
        <v>4.1666666666666666E-3</v>
      </c>
      <c r="H369" s="8">
        <f t="shared" si="42"/>
        <v>139.53</v>
      </c>
      <c r="I369" s="8">
        <f t="shared" si="43"/>
        <v>139.53</v>
      </c>
    </row>
    <row r="370" spans="1:9" x14ac:dyDescent="0.2">
      <c r="A370" s="203" t="s">
        <v>32</v>
      </c>
      <c r="B370" s="6" t="s">
        <v>261</v>
      </c>
      <c r="C370" s="6" t="s">
        <v>326</v>
      </c>
      <c r="D370" s="202">
        <v>41122</v>
      </c>
      <c r="E370" s="8">
        <v>254.72</v>
      </c>
      <c r="F370" s="17">
        <f t="shared" si="39"/>
        <v>12</v>
      </c>
      <c r="G370" s="236">
        <f t="shared" si="36"/>
        <v>4.1666666666666666E-3</v>
      </c>
      <c r="H370" s="8">
        <f t="shared" si="42"/>
        <v>12.74</v>
      </c>
      <c r="I370" s="8">
        <f t="shared" si="43"/>
        <v>12.74</v>
      </c>
    </row>
    <row r="371" spans="1:9" x14ac:dyDescent="0.2">
      <c r="A371" s="203" t="s">
        <v>32</v>
      </c>
      <c r="B371" s="6" t="s">
        <v>261</v>
      </c>
      <c r="C371" s="6" t="s">
        <v>326</v>
      </c>
      <c r="D371" s="202">
        <v>41153</v>
      </c>
      <c r="E371" s="8">
        <v>3938.35</v>
      </c>
      <c r="F371" s="17">
        <f t="shared" si="39"/>
        <v>12</v>
      </c>
      <c r="G371" s="236">
        <f t="shared" si="36"/>
        <v>4.1666666666666666E-3</v>
      </c>
      <c r="H371" s="8">
        <f t="shared" si="42"/>
        <v>196.92</v>
      </c>
      <c r="I371" s="8">
        <f t="shared" si="43"/>
        <v>196.92</v>
      </c>
    </row>
    <row r="372" spans="1:9" x14ac:dyDescent="0.2">
      <c r="A372" s="203" t="s">
        <v>32</v>
      </c>
      <c r="B372" s="6" t="s">
        <v>262</v>
      </c>
      <c r="C372" s="6" t="s">
        <v>327</v>
      </c>
      <c r="D372" s="202">
        <v>41122</v>
      </c>
      <c r="E372" s="8">
        <v>166.65</v>
      </c>
      <c r="F372" s="17">
        <f t="shared" si="39"/>
        <v>12</v>
      </c>
      <c r="G372" s="236">
        <f t="shared" si="36"/>
        <v>4.1666666666666666E-3</v>
      </c>
      <c r="H372" s="8">
        <f t="shared" si="42"/>
        <v>8.33</v>
      </c>
      <c r="I372" s="8">
        <f t="shared" si="43"/>
        <v>8.33</v>
      </c>
    </row>
    <row r="373" spans="1:9" x14ac:dyDescent="0.2">
      <c r="A373" s="203" t="s">
        <v>32</v>
      </c>
      <c r="B373" s="6" t="s">
        <v>262</v>
      </c>
      <c r="C373" s="6" t="s">
        <v>327</v>
      </c>
      <c r="D373" s="202">
        <v>41153</v>
      </c>
      <c r="E373" s="8">
        <v>-6994.4000000000005</v>
      </c>
      <c r="F373" s="17">
        <f t="shared" si="39"/>
        <v>12</v>
      </c>
      <c r="G373" s="236">
        <f t="shared" si="36"/>
        <v>4.1666666666666666E-3</v>
      </c>
      <c r="H373" s="8">
        <f t="shared" si="42"/>
        <v>-349.72</v>
      </c>
      <c r="I373" s="8">
        <f t="shared" si="43"/>
        <v>-349.72</v>
      </c>
    </row>
    <row r="374" spans="1:9" x14ac:dyDescent="0.2">
      <c r="A374" s="3"/>
      <c r="B374" s="3"/>
      <c r="C374" s="3"/>
      <c r="D374" s="9"/>
      <c r="E374" s="182"/>
      <c r="F374" s="11"/>
      <c r="G374" s="161"/>
      <c r="H374" s="10"/>
      <c r="I374" s="10"/>
    </row>
    <row r="375" spans="1:9" ht="13.5" thickBot="1" x14ac:dyDescent="0.25">
      <c r="A375" s="3"/>
      <c r="B375" s="3"/>
      <c r="C375" s="12" t="s">
        <v>27</v>
      </c>
      <c r="D375" s="9"/>
      <c r="E375" s="244">
        <f>SUM(E313:E373)</f>
        <v>401123.42000000016</v>
      </c>
      <c r="F375" s="151"/>
      <c r="G375" s="161"/>
      <c r="H375" s="13">
        <f>SUM(H313:H373)</f>
        <v>15752.480000000003</v>
      </c>
      <c r="I375" s="13">
        <f>SUM(I313:I373)</f>
        <v>20056.229999999996</v>
      </c>
    </row>
    <row r="376" spans="1:9" ht="13.5" thickTop="1" x14ac:dyDescent="0.2">
      <c r="A376" s="3"/>
      <c r="B376" s="3"/>
      <c r="C376" s="3"/>
      <c r="D376" s="9"/>
      <c r="E376" s="182"/>
      <c r="F376" s="11"/>
      <c r="G376" s="161"/>
      <c r="H376" s="10"/>
      <c r="I376" s="10"/>
    </row>
    <row r="377" spans="1:9" x14ac:dyDescent="0.2">
      <c r="A377" s="3"/>
      <c r="B377" s="3"/>
      <c r="C377" s="3"/>
      <c r="D377" s="9"/>
      <c r="E377" s="182"/>
      <c r="F377" s="11"/>
      <c r="G377" s="161"/>
      <c r="H377" s="10"/>
      <c r="I377" s="10"/>
    </row>
    <row r="378" spans="1:9" x14ac:dyDescent="0.2">
      <c r="A378" s="2" t="s">
        <v>34</v>
      </c>
      <c r="B378" s="3"/>
      <c r="C378" s="3"/>
      <c r="D378" s="9"/>
      <c r="E378" s="182"/>
      <c r="F378" s="11"/>
      <c r="G378" s="161"/>
      <c r="H378" s="10"/>
      <c r="I378" s="10"/>
    </row>
    <row r="379" spans="1:9" x14ac:dyDescent="0.2">
      <c r="A379" s="3"/>
      <c r="B379" s="3"/>
      <c r="C379" s="3"/>
      <c r="D379" s="9"/>
      <c r="E379" s="182"/>
      <c r="F379" s="11"/>
      <c r="G379" s="161"/>
      <c r="H379" s="10"/>
      <c r="I379" s="10"/>
    </row>
    <row r="380" spans="1:9" s="29" customFormat="1" x14ac:dyDescent="0.2">
      <c r="A380" s="207">
        <v>38000</v>
      </c>
      <c r="B380" s="155" t="s">
        <v>526</v>
      </c>
      <c r="C380" s="6" t="s">
        <v>394</v>
      </c>
      <c r="D380" s="202">
        <v>41297</v>
      </c>
      <c r="E380" s="8">
        <v>2829.079999999999</v>
      </c>
      <c r="F380" s="17">
        <f t="shared" ref="F380:F410" si="44">IF((YEAR($F$1)-YEAR($D380))*12+MONTH($F$1)-MONTH($D380)&gt;12,12,(YEAR($F$1)-YEAR($D380))*12+MONTH($F$1)-MONTH($D380))</f>
        <v>9</v>
      </c>
      <c r="G380" s="236">
        <f t="shared" ref="G380:G422" si="45">0.0513/12</f>
        <v>4.2750000000000002E-3</v>
      </c>
      <c r="H380" s="167">
        <f t="shared" ref="H380:H411" si="46">ROUND(E380*F380*G380,2)</f>
        <v>108.85</v>
      </c>
      <c r="I380" s="167">
        <f t="shared" ref="I380:I411" si="47">ROUND(E380*G380*12,2)</f>
        <v>145.13</v>
      </c>
    </row>
    <row r="381" spans="1:9" x14ac:dyDescent="0.2">
      <c r="A381" s="207">
        <v>38000</v>
      </c>
      <c r="B381" s="155" t="s">
        <v>527</v>
      </c>
      <c r="C381" s="6" t="s">
        <v>394</v>
      </c>
      <c r="D381" s="202">
        <v>41379</v>
      </c>
      <c r="E381" s="8">
        <v>7024.91</v>
      </c>
      <c r="F381" s="17">
        <f t="shared" si="44"/>
        <v>6</v>
      </c>
      <c r="G381" s="236">
        <f t="shared" si="45"/>
        <v>4.2750000000000002E-3</v>
      </c>
      <c r="H381" s="8">
        <f t="shared" si="46"/>
        <v>180.19</v>
      </c>
      <c r="I381" s="8">
        <f t="shared" si="47"/>
        <v>360.38</v>
      </c>
    </row>
    <row r="382" spans="1:9" x14ac:dyDescent="0.2">
      <c r="A382" s="207">
        <v>38000</v>
      </c>
      <c r="B382" s="155" t="s">
        <v>528</v>
      </c>
      <c r="C382" s="6" t="s">
        <v>394</v>
      </c>
      <c r="D382" s="202">
        <v>41428</v>
      </c>
      <c r="E382" s="8">
        <v>6807.0099999999993</v>
      </c>
      <c r="F382" s="17">
        <f t="shared" si="44"/>
        <v>4</v>
      </c>
      <c r="G382" s="236">
        <f t="shared" si="45"/>
        <v>4.2750000000000002E-3</v>
      </c>
      <c r="H382" s="8">
        <f t="shared" si="46"/>
        <v>116.4</v>
      </c>
      <c r="I382" s="8">
        <f t="shared" si="47"/>
        <v>349.2</v>
      </c>
    </row>
    <row r="383" spans="1:9" x14ac:dyDescent="0.2">
      <c r="A383" s="207">
        <v>38000</v>
      </c>
      <c r="B383" s="155" t="s">
        <v>529</v>
      </c>
      <c r="C383" s="6" t="s">
        <v>394</v>
      </c>
      <c r="D383" s="202">
        <v>41297</v>
      </c>
      <c r="E383" s="8">
        <v>39399.820000000007</v>
      </c>
      <c r="F383" s="17">
        <f t="shared" si="44"/>
        <v>9</v>
      </c>
      <c r="G383" s="236">
        <f t="shared" si="45"/>
        <v>4.2750000000000002E-3</v>
      </c>
      <c r="H383" s="8">
        <f t="shared" si="46"/>
        <v>1515.91</v>
      </c>
      <c r="I383" s="8">
        <f t="shared" si="47"/>
        <v>2021.21</v>
      </c>
    </row>
    <row r="384" spans="1:9" x14ac:dyDescent="0.2">
      <c r="A384" s="207">
        <v>38000</v>
      </c>
      <c r="B384" s="190" t="s">
        <v>530</v>
      </c>
      <c r="C384" s="6" t="s">
        <v>394</v>
      </c>
      <c r="D384" s="202">
        <v>41379</v>
      </c>
      <c r="E384" s="8">
        <v>54148.060000000049</v>
      </c>
      <c r="F384" s="17">
        <f t="shared" si="44"/>
        <v>6</v>
      </c>
      <c r="G384" s="236">
        <f t="shared" si="45"/>
        <v>4.2750000000000002E-3</v>
      </c>
      <c r="H384" s="8">
        <f t="shared" si="46"/>
        <v>1388.9</v>
      </c>
      <c r="I384" s="8">
        <f t="shared" si="47"/>
        <v>2777.8</v>
      </c>
    </row>
    <row r="385" spans="1:9" x14ac:dyDescent="0.2">
      <c r="A385" s="207">
        <v>38000</v>
      </c>
      <c r="B385" s="155" t="s">
        <v>531</v>
      </c>
      <c r="C385" s="6" t="s">
        <v>394</v>
      </c>
      <c r="D385" s="202">
        <v>41428</v>
      </c>
      <c r="E385" s="8">
        <v>35304.32</v>
      </c>
      <c r="F385" s="17">
        <f t="shared" si="44"/>
        <v>4</v>
      </c>
      <c r="G385" s="236">
        <f t="shared" si="45"/>
        <v>4.2750000000000002E-3</v>
      </c>
      <c r="H385" s="8">
        <f t="shared" si="46"/>
        <v>603.70000000000005</v>
      </c>
      <c r="I385" s="8">
        <f t="shared" si="47"/>
        <v>1811.11</v>
      </c>
    </row>
    <row r="386" spans="1:9" x14ac:dyDescent="0.2">
      <c r="A386" s="207">
        <v>38000</v>
      </c>
      <c r="B386" s="155" t="s">
        <v>532</v>
      </c>
      <c r="C386" s="6" t="s">
        <v>394</v>
      </c>
      <c r="D386" s="202">
        <v>41297</v>
      </c>
      <c r="E386" s="8">
        <v>1505.18</v>
      </c>
      <c r="F386" s="17">
        <f t="shared" si="44"/>
        <v>9</v>
      </c>
      <c r="G386" s="236">
        <f t="shared" si="45"/>
        <v>4.2750000000000002E-3</v>
      </c>
      <c r="H386" s="8">
        <f t="shared" si="46"/>
        <v>57.91</v>
      </c>
      <c r="I386" s="8">
        <f t="shared" si="47"/>
        <v>77.22</v>
      </c>
    </row>
    <row r="387" spans="1:9" x14ac:dyDescent="0.2">
      <c r="A387" s="207">
        <v>38000</v>
      </c>
      <c r="B387" s="155" t="s">
        <v>533</v>
      </c>
      <c r="C387" s="6" t="s">
        <v>394</v>
      </c>
      <c r="D387" s="202">
        <v>41379</v>
      </c>
      <c r="E387" s="8">
        <v>4422.7300000000014</v>
      </c>
      <c r="F387" s="17">
        <f t="shared" si="44"/>
        <v>6</v>
      </c>
      <c r="G387" s="236">
        <f t="shared" si="45"/>
        <v>4.2750000000000002E-3</v>
      </c>
      <c r="H387" s="8">
        <f t="shared" si="46"/>
        <v>113.44</v>
      </c>
      <c r="I387" s="8">
        <f t="shared" si="47"/>
        <v>226.89</v>
      </c>
    </row>
    <row r="388" spans="1:9" x14ac:dyDescent="0.2">
      <c r="A388" s="207">
        <v>38000</v>
      </c>
      <c r="B388" s="155" t="s">
        <v>534</v>
      </c>
      <c r="C388" s="6" t="s">
        <v>394</v>
      </c>
      <c r="D388" s="202">
        <v>41450</v>
      </c>
      <c r="E388" s="8">
        <v>3442.7</v>
      </c>
      <c r="F388" s="17">
        <f t="shared" si="44"/>
        <v>4</v>
      </c>
      <c r="G388" s="236">
        <f t="shared" si="45"/>
        <v>4.2750000000000002E-3</v>
      </c>
      <c r="H388" s="8">
        <f t="shared" si="46"/>
        <v>58.87</v>
      </c>
      <c r="I388" s="8">
        <f t="shared" si="47"/>
        <v>176.61</v>
      </c>
    </row>
    <row r="389" spans="1:9" x14ac:dyDescent="0.2">
      <c r="A389" s="207" t="s">
        <v>32</v>
      </c>
      <c r="B389" s="155" t="s">
        <v>220</v>
      </c>
      <c r="C389" s="6" t="s">
        <v>288</v>
      </c>
      <c r="D389" s="202">
        <v>41061</v>
      </c>
      <c r="E389" s="243">
        <v>9537.619999999999</v>
      </c>
      <c r="F389" s="17">
        <f t="shared" si="44"/>
        <v>12</v>
      </c>
      <c r="G389" s="236">
        <f t="shared" si="45"/>
        <v>4.2750000000000002E-3</v>
      </c>
      <c r="H389" s="8">
        <f t="shared" si="46"/>
        <v>489.28</v>
      </c>
      <c r="I389" s="8">
        <f t="shared" si="47"/>
        <v>489.28</v>
      </c>
    </row>
    <row r="390" spans="1:9" x14ac:dyDescent="0.2">
      <c r="A390" s="207" t="s">
        <v>32</v>
      </c>
      <c r="B390" s="155" t="s">
        <v>220</v>
      </c>
      <c r="C390" s="6" t="s">
        <v>288</v>
      </c>
      <c r="D390" s="202">
        <v>41091</v>
      </c>
      <c r="E390" s="243">
        <v>11237.740000000002</v>
      </c>
      <c r="F390" s="17">
        <f t="shared" si="44"/>
        <v>12</v>
      </c>
      <c r="G390" s="236">
        <f t="shared" si="45"/>
        <v>4.2750000000000002E-3</v>
      </c>
      <c r="H390" s="8">
        <f t="shared" si="46"/>
        <v>576.5</v>
      </c>
      <c r="I390" s="8">
        <f t="shared" si="47"/>
        <v>576.5</v>
      </c>
    </row>
    <row r="391" spans="1:9" x14ac:dyDescent="0.2">
      <c r="A391" s="207" t="s">
        <v>32</v>
      </c>
      <c r="B391" s="155" t="s">
        <v>221</v>
      </c>
      <c r="C391" s="6" t="s">
        <v>290</v>
      </c>
      <c r="D391" s="202">
        <v>41061</v>
      </c>
      <c r="E391" s="243">
        <v>17821.039999999997</v>
      </c>
      <c r="F391" s="17">
        <f t="shared" si="44"/>
        <v>12</v>
      </c>
      <c r="G391" s="236">
        <f t="shared" si="45"/>
        <v>4.2750000000000002E-3</v>
      </c>
      <c r="H391" s="8">
        <f t="shared" si="46"/>
        <v>914.22</v>
      </c>
      <c r="I391" s="8">
        <f t="shared" si="47"/>
        <v>914.22</v>
      </c>
    </row>
    <row r="392" spans="1:9" x14ac:dyDescent="0.2">
      <c r="A392" s="207" t="s">
        <v>32</v>
      </c>
      <c r="B392" s="155" t="s">
        <v>221</v>
      </c>
      <c r="C392" s="6" t="s">
        <v>290</v>
      </c>
      <c r="D392" s="202">
        <v>41091</v>
      </c>
      <c r="E392" s="243">
        <v>14089.949999999997</v>
      </c>
      <c r="F392" s="17">
        <f t="shared" si="44"/>
        <v>12</v>
      </c>
      <c r="G392" s="236">
        <f t="shared" si="45"/>
        <v>4.2750000000000002E-3</v>
      </c>
      <c r="H392" s="8">
        <f t="shared" si="46"/>
        <v>722.81</v>
      </c>
      <c r="I392" s="8">
        <f t="shared" si="47"/>
        <v>722.81</v>
      </c>
    </row>
    <row r="393" spans="1:9" x14ac:dyDescent="0.2">
      <c r="A393" s="207" t="s">
        <v>32</v>
      </c>
      <c r="B393" s="155" t="s">
        <v>222</v>
      </c>
      <c r="C393" s="6" t="s">
        <v>292</v>
      </c>
      <c r="D393" s="202">
        <v>41061</v>
      </c>
      <c r="E393" s="243">
        <v>5276.18</v>
      </c>
      <c r="F393" s="17">
        <f t="shared" si="44"/>
        <v>12</v>
      </c>
      <c r="G393" s="236">
        <f t="shared" si="45"/>
        <v>4.2750000000000002E-3</v>
      </c>
      <c r="H393" s="8">
        <f t="shared" si="46"/>
        <v>270.67</v>
      </c>
      <c r="I393" s="8">
        <f t="shared" si="47"/>
        <v>270.67</v>
      </c>
    </row>
    <row r="394" spans="1:9" x14ac:dyDescent="0.2">
      <c r="A394" s="207" t="s">
        <v>32</v>
      </c>
      <c r="B394" s="155" t="s">
        <v>222</v>
      </c>
      <c r="C394" s="6" t="s">
        <v>292</v>
      </c>
      <c r="D394" s="202">
        <v>41091</v>
      </c>
      <c r="E394" s="243">
        <v>8076.39</v>
      </c>
      <c r="F394" s="17">
        <f t="shared" si="44"/>
        <v>12</v>
      </c>
      <c r="G394" s="236">
        <f t="shared" si="45"/>
        <v>4.2750000000000002E-3</v>
      </c>
      <c r="H394" s="8">
        <f t="shared" si="46"/>
        <v>414.32</v>
      </c>
      <c r="I394" s="8">
        <f t="shared" si="47"/>
        <v>414.32</v>
      </c>
    </row>
    <row r="395" spans="1:9" x14ac:dyDescent="0.2">
      <c r="A395" s="207" t="s">
        <v>32</v>
      </c>
      <c r="B395" s="155" t="s">
        <v>223</v>
      </c>
      <c r="C395" s="6" t="s">
        <v>321</v>
      </c>
      <c r="D395" s="202">
        <v>41061</v>
      </c>
      <c r="E395" s="243">
        <v>57.06</v>
      </c>
      <c r="F395" s="17">
        <f t="shared" si="44"/>
        <v>12</v>
      </c>
      <c r="G395" s="236">
        <f t="shared" si="45"/>
        <v>4.2750000000000002E-3</v>
      </c>
      <c r="H395" s="8">
        <f t="shared" si="46"/>
        <v>2.93</v>
      </c>
      <c r="I395" s="8">
        <f t="shared" si="47"/>
        <v>2.93</v>
      </c>
    </row>
    <row r="396" spans="1:9" x14ac:dyDescent="0.2">
      <c r="A396" s="207" t="s">
        <v>32</v>
      </c>
      <c r="B396" s="155" t="s">
        <v>224</v>
      </c>
      <c r="C396" s="6" t="s">
        <v>323</v>
      </c>
      <c r="D396" s="202">
        <v>41061</v>
      </c>
      <c r="E396" s="243">
        <v>-175.58999999999997</v>
      </c>
      <c r="F396" s="17">
        <f t="shared" si="44"/>
        <v>12</v>
      </c>
      <c r="G396" s="236">
        <f t="shared" si="45"/>
        <v>4.2750000000000002E-3</v>
      </c>
      <c r="H396" s="8">
        <f t="shared" si="46"/>
        <v>-9.01</v>
      </c>
      <c r="I396" s="8">
        <f t="shared" si="47"/>
        <v>-9.01</v>
      </c>
    </row>
    <row r="397" spans="1:9" x14ac:dyDescent="0.2">
      <c r="A397" s="207" t="s">
        <v>32</v>
      </c>
      <c r="B397" s="155" t="s">
        <v>224</v>
      </c>
      <c r="C397" s="6" t="s">
        <v>323</v>
      </c>
      <c r="D397" s="202">
        <v>41091</v>
      </c>
      <c r="E397" s="243">
        <v>122.42</v>
      </c>
      <c r="F397" s="17">
        <f t="shared" si="44"/>
        <v>12</v>
      </c>
      <c r="G397" s="236">
        <f t="shared" si="45"/>
        <v>4.2750000000000002E-3</v>
      </c>
      <c r="H397" s="8">
        <f t="shared" si="46"/>
        <v>6.28</v>
      </c>
      <c r="I397" s="8">
        <f t="shared" si="47"/>
        <v>6.28</v>
      </c>
    </row>
    <row r="398" spans="1:9" x14ac:dyDescent="0.2">
      <c r="A398" s="207" t="s">
        <v>32</v>
      </c>
      <c r="B398" s="155" t="s">
        <v>225</v>
      </c>
      <c r="C398" s="6" t="s">
        <v>325</v>
      </c>
      <c r="D398" s="202">
        <v>41061</v>
      </c>
      <c r="E398" s="243">
        <v>-425.89</v>
      </c>
      <c r="F398" s="17">
        <f t="shared" si="44"/>
        <v>12</v>
      </c>
      <c r="G398" s="236">
        <f t="shared" si="45"/>
        <v>4.2750000000000002E-3</v>
      </c>
      <c r="H398" s="8">
        <f t="shared" si="46"/>
        <v>-21.85</v>
      </c>
      <c r="I398" s="8">
        <f t="shared" si="47"/>
        <v>-21.85</v>
      </c>
    </row>
    <row r="399" spans="1:9" x14ac:dyDescent="0.2">
      <c r="A399" s="207" t="s">
        <v>32</v>
      </c>
      <c r="B399" s="155" t="s">
        <v>225</v>
      </c>
      <c r="C399" s="6" t="s">
        <v>325</v>
      </c>
      <c r="D399" s="202">
        <v>41091</v>
      </c>
      <c r="E399" s="243">
        <v>1930.5100000000002</v>
      </c>
      <c r="F399" s="17">
        <f t="shared" si="44"/>
        <v>12</v>
      </c>
      <c r="G399" s="236">
        <f t="shared" si="45"/>
        <v>4.2750000000000002E-3</v>
      </c>
      <c r="H399" s="8">
        <f t="shared" si="46"/>
        <v>99.04</v>
      </c>
      <c r="I399" s="8">
        <f t="shared" si="47"/>
        <v>99.04</v>
      </c>
    </row>
    <row r="400" spans="1:9" x14ac:dyDescent="0.2">
      <c r="A400" s="207" t="s">
        <v>32</v>
      </c>
      <c r="B400" s="155" t="s">
        <v>598</v>
      </c>
      <c r="C400" s="6" t="s">
        <v>562</v>
      </c>
      <c r="D400" s="202">
        <v>41153</v>
      </c>
      <c r="E400" s="243">
        <v>815.41</v>
      </c>
      <c r="F400" s="17">
        <f t="shared" si="44"/>
        <v>12</v>
      </c>
      <c r="G400" s="236">
        <f t="shared" si="45"/>
        <v>4.2750000000000002E-3</v>
      </c>
      <c r="H400" s="8">
        <f t="shared" si="46"/>
        <v>41.83</v>
      </c>
      <c r="I400" s="8">
        <f t="shared" si="47"/>
        <v>41.83</v>
      </c>
    </row>
    <row r="401" spans="1:9" x14ac:dyDescent="0.2">
      <c r="A401" s="207" t="s">
        <v>32</v>
      </c>
      <c r="B401" s="155" t="s">
        <v>599</v>
      </c>
      <c r="C401" s="6" t="s">
        <v>268</v>
      </c>
      <c r="D401" s="202">
        <v>41153</v>
      </c>
      <c r="E401" s="243">
        <v>225</v>
      </c>
      <c r="F401" s="17">
        <f t="shared" si="44"/>
        <v>12</v>
      </c>
      <c r="G401" s="236">
        <f t="shared" si="45"/>
        <v>4.2750000000000002E-3</v>
      </c>
      <c r="H401" s="8">
        <f t="shared" si="46"/>
        <v>11.54</v>
      </c>
      <c r="I401" s="8">
        <f t="shared" si="47"/>
        <v>11.54</v>
      </c>
    </row>
    <row r="402" spans="1:9" x14ac:dyDescent="0.2">
      <c r="A402" s="207" t="s">
        <v>32</v>
      </c>
      <c r="B402" s="155" t="s">
        <v>600</v>
      </c>
      <c r="C402" s="6" t="s">
        <v>271</v>
      </c>
      <c r="D402" s="202">
        <v>41153</v>
      </c>
      <c r="E402" s="243">
        <v>548.88</v>
      </c>
      <c r="F402" s="17">
        <f t="shared" si="44"/>
        <v>12</v>
      </c>
      <c r="G402" s="236">
        <f t="shared" si="45"/>
        <v>4.2750000000000002E-3</v>
      </c>
      <c r="H402" s="8">
        <f t="shared" si="46"/>
        <v>28.16</v>
      </c>
      <c r="I402" s="8">
        <f t="shared" si="47"/>
        <v>28.16</v>
      </c>
    </row>
    <row r="403" spans="1:9" x14ac:dyDescent="0.2">
      <c r="A403" s="207" t="s">
        <v>32</v>
      </c>
      <c r="B403" s="155" t="s">
        <v>203</v>
      </c>
      <c r="C403" s="6" t="s">
        <v>274</v>
      </c>
      <c r="D403" s="202">
        <v>41153</v>
      </c>
      <c r="E403" s="243">
        <v>412.74</v>
      </c>
      <c r="F403" s="17">
        <f t="shared" si="44"/>
        <v>12</v>
      </c>
      <c r="G403" s="236">
        <f t="shared" si="45"/>
        <v>4.2750000000000002E-3</v>
      </c>
      <c r="H403" s="8">
        <f t="shared" si="46"/>
        <v>21.17</v>
      </c>
      <c r="I403" s="8">
        <f t="shared" si="47"/>
        <v>21.17</v>
      </c>
    </row>
    <row r="404" spans="1:9" x14ac:dyDescent="0.2">
      <c r="A404" s="207" t="s">
        <v>32</v>
      </c>
      <c r="B404" s="155" t="s">
        <v>205</v>
      </c>
      <c r="C404" s="6" t="s">
        <v>279</v>
      </c>
      <c r="D404" s="202">
        <v>41153</v>
      </c>
      <c r="E404" s="243">
        <v>1864.23</v>
      </c>
      <c r="F404" s="17">
        <f t="shared" si="44"/>
        <v>12</v>
      </c>
      <c r="G404" s="236">
        <f t="shared" si="45"/>
        <v>4.2750000000000002E-3</v>
      </c>
      <c r="H404" s="8">
        <f t="shared" si="46"/>
        <v>95.63</v>
      </c>
      <c r="I404" s="8">
        <f t="shared" si="47"/>
        <v>95.63</v>
      </c>
    </row>
    <row r="405" spans="1:9" x14ac:dyDescent="0.2">
      <c r="A405" s="207" t="s">
        <v>32</v>
      </c>
      <c r="B405" s="155" t="s">
        <v>220</v>
      </c>
      <c r="C405" s="6" t="s">
        <v>288</v>
      </c>
      <c r="D405" s="202">
        <v>41122</v>
      </c>
      <c r="E405" s="243">
        <v>-5047.1500000000005</v>
      </c>
      <c r="F405" s="17">
        <f t="shared" si="44"/>
        <v>12</v>
      </c>
      <c r="G405" s="236">
        <f t="shared" si="45"/>
        <v>4.2750000000000002E-3</v>
      </c>
      <c r="H405" s="8">
        <f t="shared" si="46"/>
        <v>-258.92</v>
      </c>
      <c r="I405" s="8">
        <f t="shared" si="47"/>
        <v>-258.92</v>
      </c>
    </row>
    <row r="406" spans="1:9" x14ac:dyDescent="0.2">
      <c r="A406" s="207" t="s">
        <v>32</v>
      </c>
      <c r="B406" s="155" t="s">
        <v>220</v>
      </c>
      <c r="C406" s="6" t="s">
        <v>288</v>
      </c>
      <c r="D406" s="202">
        <v>41153</v>
      </c>
      <c r="E406" s="243">
        <v>11700.9</v>
      </c>
      <c r="F406" s="17">
        <f t="shared" si="44"/>
        <v>12</v>
      </c>
      <c r="G406" s="236">
        <f t="shared" si="45"/>
        <v>4.2750000000000002E-3</v>
      </c>
      <c r="H406" s="8">
        <f t="shared" si="46"/>
        <v>600.26</v>
      </c>
      <c r="I406" s="8">
        <f t="shared" si="47"/>
        <v>600.26</v>
      </c>
    </row>
    <row r="407" spans="1:9" x14ac:dyDescent="0.2">
      <c r="A407" s="207" t="s">
        <v>32</v>
      </c>
      <c r="B407" s="155" t="s">
        <v>220</v>
      </c>
      <c r="C407" s="6" t="s">
        <v>288</v>
      </c>
      <c r="D407" s="202">
        <v>41183</v>
      </c>
      <c r="E407" s="8">
        <v>18132.91</v>
      </c>
      <c r="F407" s="17">
        <f t="shared" si="44"/>
        <v>12</v>
      </c>
      <c r="G407" s="236">
        <f t="shared" si="45"/>
        <v>4.2750000000000002E-3</v>
      </c>
      <c r="H407" s="8">
        <f t="shared" si="46"/>
        <v>930.22</v>
      </c>
      <c r="I407" s="8">
        <f t="shared" si="47"/>
        <v>930.22</v>
      </c>
    </row>
    <row r="408" spans="1:9" x14ac:dyDescent="0.2">
      <c r="A408" s="207" t="s">
        <v>32</v>
      </c>
      <c r="B408" s="155" t="s">
        <v>221</v>
      </c>
      <c r="C408" s="6" t="s">
        <v>290</v>
      </c>
      <c r="D408" s="202">
        <v>41122</v>
      </c>
      <c r="E408" s="8">
        <v>65611.240000000005</v>
      </c>
      <c r="F408" s="17">
        <f t="shared" si="44"/>
        <v>12</v>
      </c>
      <c r="G408" s="236">
        <f t="shared" si="45"/>
        <v>4.2750000000000002E-3</v>
      </c>
      <c r="H408" s="8">
        <f t="shared" si="46"/>
        <v>3365.86</v>
      </c>
      <c r="I408" s="8">
        <f t="shared" si="47"/>
        <v>3365.86</v>
      </c>
    </row>
    <row r="409" spans="1:9" x14ac:dyDescent="0.2">
      <c r="A409" s="207" t="s">
        <v>32</v>
      </c>
      <c r="B409" s="155" t="s">
        <v>221</v>
      </c>
      <c r="C409" s="6" t="s">
        <v>290</v>
      </c>
      <c r="D409" s="202">
        <v>41153</v>
      </c>
      <c r="E409" s="8">
        <v>51309.770000000004</v>
      </c>
      <c r="F409" s="17">
        <f t="shared" si="44"/>
        <v>12</v>
      </c>
      <c r="G409" s="236">
        <f t="shared" si="45"/>
        <v>4.2750000000000002E-3</v>
      </c>
      <c r="H409" s="8">
        <f t="shared" si="46"/>
        <v>2632.19</v>
      </c>
      <c r="I409" s="8">
        <f t="shared" si="47"/>
        <v>2632.19</v>
      </c>
    </row>
    <row r="410" spans="1:9" x14ac:dyDescent="0.2">
      <c r="A410" s="207" t="s">
        <v>32</v>
      </c>
      <c r="B410" s="155" t="s">
        <v>221</v>
      </c>
      <c r="C410" s="6" t="s">
        <v>290</v>
      </c>
      <c r="D410" s="202">
        <v>41183</v>
      </c>
      <c r="E410" s="8">
        <v>21822.16</v>
      </c>
      <c r="F410" s="17">
        <f t="shared" si="44"/>
        <v>12</v>
      </c>
      <c r="G410" s="236">
        <f t="shared" si="45"/>
        <v>4.2750000000000002E-3</v>
      </c>
      <c r="H410" s="8">
        <f t="shared" si="46"/>
        <v>1119.48</v>
      </c>
      <c r="I410" s="8">
        <f t="shared" si="47"/>
        <v>1119.48</v>
      </c>
    </row>
    <row r="411" spans="1:9" x14ac:dyDescent="0.2">
      <c r="A411" s="207" t="s">
        <v>32</v>
      </c>
      <c r="B411" s="155" t="s">
        <v>222</v>
      </c>
      <c r="C411" s="6" t="s">
        <v>292</v>
      </c>
      <c r="D411" s="202">
        <v>41122</v>
      </c>
      <c r="E411" s="8">
        <v>9970.86</v>
      </c>
      <c r="F411" s="17">
        <f t="shared" ref="F411:F422" si="48">IF((YEAR($F$1)-YEAR($D411))*12+MONTH($F$1)-MONTH($D411)&gt;12,12,(YEAR($F$1)-YEAR($D411))*12+MONTH($F$1)-MONTH($D411))</f>
        <v>12</v>
      </c>
      <c r="G411" s="236">
        <f t="shared" si="45"/>
        <v>4.2750000000000002E-3</v>
      </c>
      <c r="H411" s="8">
        <f t="shared" si="46"/>
        <v>511.51</v>
      </c>
      <c r="I411" s="8">
        <f t="shared" si="47"/>
        <v>511.51</v>
      </c>
    </row>
    <row r="412" spans="1:9" x14ac:dyDescent="0.2">
      <c r="A412" s="203" t="s">
        <v>32</v>
      </c>
      <c r="B412" s="6" t="s">
        <v>222</v>
      </c>
      <c r="C412" s="6" t="s">
        <v>292</v>
      </c>
      <c r="D412" s="202">
        <v>41153</v>
      </c>
      <c r="E412" s="8">
        <v>2929.01</v>
      </c>
      <c r="F412" s="17">
        <f t="shared" si="48"/>
        <v>12</v>
      </c>
      <c r="G412" s="236">
        <f t="shared" si="45"/>
        <v>4.2750000000000002E-3</v>
      </c>
      <c r="H412" s="8">
        <f t="shared" ref="H412:H422" si="49">ROUND(E412*F412*G412,2)</f>
        <v>150.26</v>
      </c>
      <c r="I412" s="8">
        <f t="shared" ref="I412:I422" si="50">ROUND(E412*G412*12,2)</f>
        <v>150.26</v>
      </c>
    </row>
    <row r="413" spans="1:9" x14ac:dyDescent="0.2">
      <c r="A413" s="203" t="s">
        <v>32</v>
      </c>
      <c r="B413" s="6" t="s">
        <v>222</v>
      </c>
      <c r="C413" s="6" t="s">
        <v>292</v>
      </c>
      <c r="D413" s="202">
        <v>41183</v>
      </c>
      <c r="E413" s="8">
        <v>2005.5800000000002</v>
      </c>
      <c r="F413" s="17">
        <f t="shared" si="48"/>
        <v>12</v>
      </c>
      <c r="G413" s="236">
        <f t="shared" si="45"/>
        <v>4.2750000000000002E-3</v>
      </c>
      <c r="H413" s="8">
        <f t="shared" si="49"/>
        <v>102.89</v>
      </c>
      <c r="I413" s="8">
        <f t="shared" si="50"/>
        <v>102.89</v>
      </c>
    </row>
    <row r="414" spans="1:9" x14ac:dyDescent="0.2">
      <c r="A414" s="203" t="s">
        <v>32</v>
      </c>
      <c r="B414" s="6" t="s">
        <v>223</v>
      </c>
      <c r="C414" s="6" t="s">
        <v>321</v>
      </c>
      <c r="D414" s="202">
        <v>41153</v>
      </c>
      <c r="E414" s="8">
        <v>-454.35</v>
      </c>
      <c r="F414" s="17">
        <f t="shared" si="48"/>
        <v>12</v>
      </c>
      <c r="G414" s="236">
        <f t="shared" si="45"/>
        <v>4.2750000000000002E-3</v>
      </c>
      <c r="H414" s="8">
        <f t="shared" si="49"/>
        <v>-23.31</v>
      </c>
      <c r="I414" s="8">
        <f t="shared" si="50"/>
        <v>-23.31</v>
      </c>
    </row>
    <row r="415" spans="1:9" x14ac:dyDescent="0.2">
      <c r="A415" s="203" t="s">
        <v>32</v>
      </c>
      <c r="B415" s="6" t="s">
        <v>223</v>
      </c>
      <c r="C415" s="6" t="s">
        <v>321</v>
      </c>
      <c r="D415" s="202">
        <v>41153</v>
      </c>
      <c r="E415" s="8">
        <v>454.35</v>
      </c>
      <c r="F415" s="17">
        <f t="shared" si="48"/>
        <v>12</v>
      </c>
      <c r="G415" s="236">
        <f t="shared" si="45"/>
        <v>4.2750000000000002E-3</v>
      </c>
      <c r="H415" s="8">
        <f t="shared" si="49"/>
        <v>23.31</v>
      </c>
      <c r="I415" s="8">
        <f t="shared" si="50"/>
        <v>23.31</v>
      </c>
    </row>
    <row r="416" spans="1:9" x14ac:dyDescent="0.2">
      <c r="A416" s="203" t="s">
        <v>32</v>
      </c>
      <c r="B416" s="6" t="s">
        <v>223</v>
      </c>
      <c r="C416" s="6" t="s">
        <v>321</v>
      </c>
      <c r="D416" s="202">
        <v>41183</v>
      </c>
      <c r="E416" s="8">
        <v>297.40000000000003</v>
      </c>
      <c r="F416" s="17">
        <f t="shared" si="48"/>
        <v>12</v>
      </c>
      <c r="G416" s="236">
        <f t="shared" si="45"/>
        <v>4.2750000000000002E-3</v>
      </c>
      <c r="H416" s="8">
        <f t="shared" si="49"/>
        <v>15.26</v>
      </c>
      <c r="I416" s="8">
        <f t="shared" si="50"/>
        <v>15.26</v>
      </c>
    </row>
    <row r="417" spans="1:9" x14ac:dyDescent="0.2">
      <c r="A417" s="203" t="s">
        <v>32</v>
      </c>
      <c r="B417" s="6" t="s">
        <v>224</v>
      </c>
      <c r="C417" s="6" t="s">
        <v>323</v>
      </c>
      <c r="D417" s="202">
        <v>41122</v>
      </c>
      <c r="E417" s="8">
        <v>306.88</v>
      </c>
      <c r="F417" s="17">
        <f t="shared" si="48"/>
        <v>12</v>
      </c>
      <c r="G417" s="236">
        <f t="shared" si="45"/>
        <v>4.2750000000000002E-3</v>
      </c>
      <c r="H417" s="8">
        <f t="shared" si="49"/>
        <v>15.74</v>
      </c>
      <c r="I417" s="8">
        <f t="shared" si="50"/>
        <v>15.74</v>
      </c>
    </row>
    <row r="418" spans="1:9" x14ac:dyDescent="0.2">
      <c r="A418" s="203" t="s">
        <v>32</v>
      </c>
      <c r="B418" s="6" t="s">
        <v>224</v>
      </c>
      <c r="C418" s="6" t="s">
        <v>323</v>
      </c>
      <c r="D418" s="202">
        <v>41153</v>
      </c>
      <c r="E418" s="8">
        <v>-402.71000000000004</v>
      </c>
      <c r="F418" s="17">
        <f t="shared" si="48"/>
        <v>12</v>
      </c>
      <c r="G418" s="236">
        <f t="shared" si="45"/>
        <v>4.2750000000000002E-3</v>
      </c>
      <c r="H418" s="8">
        <f t="shared" si="49"/>
        <v>-20.66</v>
      </c>
      <c r="I418" s="8">
        <f t="shared" si="50"/>
        <v>-20.66</v>
      </c>
    </row>
    <row r="419" spans="1:9" x14ac:dyDescent="0.2">
      <c r="A419" s="203" t="s">
        <v>32</v>
      </c>
      <c r="B419" s="6" t="s">
        <v>224</v>
      </c>
      <c r="C419" s="6" t="s">
        <v>323</v>
      </c>
      <c r="D419" s="202">
        <v>41183</v>
      </c>
      <c r="E419" s="8">
        <v>774.18000000000006</v>
      </c>
      <c r="F419" s="17">
        <f t="shared" si="48"/>
        <v>12</v>
      </c>
      <c r="G419" s="236">
        <f t="shared" si="45"/>
        <v>4.2750000000000002E-3</v>
      </c>
      <c r="H419" s="8">
        <f t="shared" si="49"/>
        <v>39.72</v>
      </c>
      <c r="I419" s="8">
        <f t="shared" si="50"/>
        <v>39.72</v>
      </c>
    </row>
    <row r="420" spans="1:9" x14ac:dyDescent="0.2">
      <c r="A420" s="203" t="s">
        <v>32</v>
      </c>
      <c r="B420" s="6" t="s">
        <v>225</v>
      </c>
      <c r="C420" s="6" t="s">
        <v>325</v>
      </c>
      <c r="D420" s="202">
        <v>41122</v>
      </c>
      <c r="E420" s="8">
        <v>452.89</v>
      </c>
      <c r="F420" s="17">
        <f t="shared" si="48"/>
        <v>12</v>
      </c>
      <c r="G420" s="236">
        <f t="shared" si="45"/>
        <v>4.2750000000000002E-3</v>
      </c>
      <c r="H420" s="8">
        <f t="shared" si="49"/>
        <v>23.23</v>
      </c>
      <c r="I420" s="8">
        <f t="shared" si="50"/>
        <v>23.23</v>
      </c>
    </row>
    <row r="421" spans="1:9" x14ac:dyDescent="0.2">
      <c r="A421" s="203" t="s">
        <v>32</v>
      </c>
      <c r="B421" s="6" t="s">
        <v>225</v>
      </c>
      <c r="C421" s="6" t="s">
        <v>325</v>
      </c>
      <c r="D421" s="202">
        <v>41153</v>
      </c>
      <c r="E421" s="8">
        <v>-1405.92</v>
      </c>
      <c r="F421" s="17">
        <f t="shared" si="48"/>
        <v>12</v>
      </c>
      <c r="G421" s="236">
        <f t="shared" si="45"/>
        <v>4.2750000000000002E-3</v>
      </c>
      <c r="H421" s="8">
        <f t="shared" si="49"/>
        <v>-72.12</v>
      </c>
      <c r="I421" s="8">
        <f t="shared" si="50"/>
        <v>-72.12</v>
      </c>
    </row>
    <row r="422" spans="1:9" x14ac:dyDescent="0.2">
      <c r="A422" s="203" t="s">
        <v>32</v>
      </c>
      <c r="B422" s="6" t="s">
        <v>225</v>
      </c>
      <c r="C422" s="6" t="s">
        <v>325</v>
      </c>
      <c r="D422" s="202">
        <v>41183</v>
      </c>
      <c r="E422" s="8">
        <v>221.3</v>
      </c>
      <c r="F422" s="17">
        <f t="shared" si="48"/>
        <v>12</v>
      </c>
      <c r="G422" s="236">
        <f t="shared" si="45"/>
        <v>4.2750000000000002E-3</v>
      </c>
      <c r="H422" s="8">
        <f t="shared" si="49"/>
        <v>11.35</v>
      </c>
      <c r="I422" s="8">
        <f t="shared" si="50"/>
        <v>11.35</v>
      </c>
    </row>
    <row r="423" spans="1:9" x14ac:dyDescent="0.2">
      <c r="E423" s="245"/>
      <c r="G423" s="162"/>
    </row>
    <row r="424" spans="1:9" ht="13.5" thickBot="1" x14ac:dyDescent="0.25">
      <c r="C424" s="12" t="s">
        <v>29</v>
      </c>
      <c r="E424" s="244">
        <f>SUM(E380:E422)</f>
        <v>404976.80000000016</v>
      </c>
      <c r="F424" s="151"/>
      <c r="G424" s="162"/>
      <c r="H424" s="13">
        <f>SUM(H380:H422)</f>
        <v>16973.959999999995</v>
      </c>
      <c r="I424" s="13">
        <f>SUM(I380:I422)</f>
        <v>20775.339999999997</v>
      </c>
    </row>
    <row r="425" spans="1:9" ht="13.5" thickTop="1" x14ac:dyDescent="0.2">
      <c r="C425" s="12"/>
      <c r="E425" s="182"/>
      <c r="G425" s="162"/>
      <c r="H425" s="14"/>
      <c r="I425" s="14"/>
    </row>
    <row r="426" spans="1:9" ht="13.5" thickBot="1" x14ac:dyDescent="0.25">
      <c r="C426" s="12" t="s">
        <v>35</v>
      </c>
      <c r="D426" s="16"/>
      <c r="E426" s="246">
        <f>E424+E375+E308</f>
        <v>855462.79000000039</v>
      </c>
      <c r="F426" s="16"/>
      <c r="G426" s="163"/>
      <c r="H426" s="15">
        <f>H424+H375+H308</f>
        <v>34432.99</v>
      </c>
      <c r="I426" s="15">
        <f>I424+I375+I308</f>
        <v>43299.69999999999</v>
      </c>
    </row>
    <row r="427" spans="1:9" ht="13.5" thickTop="1" x14ac:dyDescent="0.2">
      <c r="E427" s="245"/>
      <c r="G427" s="162"/>
    </row>
    <row r="428" spans="1:9" x14ac:dyDescent="0.2">
      <c r="E428" s="245"/>
      <c r="G428" s="162"/>
    </row>
    <row r="429" spans="1:9" x14ac:dyDescent="0.2">
      <c r="A429" s="2" t="s">
        <v>36</v>
      </c>
      <c r="E429" s="245"/>
      <c r="G429" s="162"/>
    </row>
    <row r="430" spans="1:9" x14ac:dyDescent="0.2">
      <c r="E430" s="245"/>
      <c r="G430" s="162"/>
    </row>
    <row r="431" spans="1:9" x14ac:dyDescent="0.2">
      <c r="A431" s="208">
        <v>38100</v>
      </c>
      <c r="B431" s="204" t="s">
        <v>384</v>
      </c>
      <c r="C431" s="6" t="s">
        <v>396</v>
      </c>
      <c r="D431" s="202">
        <v>41279</v>
      </c>
      <c r="E431" s="243">
        <v>15075.518741109416</v>
      </c>
      <c r="F431" s="17">
        <f t="shared" ref="F431:F438" si="51">IF((YEAR($F$1)-YEAR($D431))*12+MONTH($F$1)-MONTH($D431)&gt;12,12,(YEAR($F$1)-YEAR($D431))*12+MONTH($F$1)-MONTH($D431))</f>
        <v>9</v>
      </c>
      <c r="G431" s="236">
        <f>0.0216/12</f>
        <v>1.8000000000000002E-3</v>
      </c>
      <c r="H431" s="8">
        <f t="shared" ref="H431:H438" si="52">ROUND(E431*F431*G431,2)</f>
        <v>244.22</v>
      </c>
      <c r="I431" s="8">
        <f t="shared" ref="I431:I438" si="53">ROUND(E431*G431*12,2)</f>
        <v>325.63</v>
      </c>
    </row>
    <row r="432" spans="1:9" x14ac:dyDescent="0.2">
      <c r="A432" s="205">
        <v>38200</v>
      </c>
      <c r="B432" s="204" t="s">
        <v>390</v>
      </c>
      <c r="C432" s="6" t="s">
        <v>395</v>
      </c>
      <c r="D432" s="202">
        <v>41275</v>
      </c>
      <c r="E432" s="8">
        <v>6326.3300000000008</v>
      </c>
      <c r="F432" s="17">
        <f t="shared" si="51"/>
        <v>9</v>
      </c>
      <c r="G432" s="236">
        <f>0.03/12</f>
        <v>2.5000000000000001E-3</v>
      </c>
      <c r="H432" s="8">
        <f t="shared" si="52"/>
        <v>142.34</v>
      </c>
      <c r="I432" s="8">
        <f t="shared" si="53"/>
        <v>189.79</v>
      </c>
    </row>
    <row r="433" spans="1:9" x14ac:dyDescent="0.2">
      <c r="A433" s="206">
        <v>38200</v>
      </c>
      <c r="B433" s="204" t="s">
        <v>389</v>
      </c>
      <c r="C433" s="6" t="s">
        <v>397</v>
      </c>
      <c r="D433" s="202">
        <v>41281</v>
      </c>
      <c r="E433" s="8">
        <v>1471.64</v>
      </c>
      <c r="F433" s="17">
        <f t="shared" si="51"/>
        <v>9</v>
      </c>
      <c r="G433" s="236">
        <f t="shared" ref="G433:G458" si="54">0.03/12</f>
        <v>2.5000000000000001E-3</v>
      </c>
      <c r="H433" s="8">
        <f t="shared" si="52"/>
        <v>33.11</v>
      </c>
      <c r="I433" s="8">
        <f t="shared" si="53"/>
        <v>44.15</v>
      </c>
    </row>
    <row r="434" spans="1:9" x14ac:dyDescent="0.2">
      <c r="A434" s="208">
        <v>38200</v>
      </c>
      <c r="B434" s="204" t="s">
        <v>388</v>
      </c>
      <c r="C434" s="6" t="s">
        <v>396</v>
      </c>
      <c r="D434" s="202">
        <v>41367</v>
      </c>
      <c r="E434" s="8">
        <v>10255.110000000004</v>
      </c>
      <c r="F434" s="17">
        <f t="shared" si="51"/>
        <v>6</v>
      </c>
      <c r="G434" s="236">
        <f t="shared" si="54"/>
        <v>2.5000000000000001E-3</v>
      </c>
      <c r="H434" s="8">
        <f t="shared" si="52"/>
        <v>153.83000000000001</v>
      </c>
      <c r="I434" s="8">
        <f t="shared" si="53"/>
        <v>307.64999999999998</v>
      </c>
    </row>
    <row r="435" spans="1:9" x14ac:dyDescent="0.2">
      <c r="A435" s="206">
        <v>38200</v>
      </c>
      <c r="B435" s="204" t="s">
        <v>387</v>
      </c>
      <c r="C435" s="6" t="s">
        <v>397</v>
      </c>
      <c r="D435" s="202">
        <v>41371</v>
      </c>
      <c r="E435" s="8">
        <v>1433.6600000000003</v>
      </c>
      <c r="F435" s="17">
        <f t="shared" si="51"/>
        <v>6</v>
      </c>
      <c r="G435" s="236">
        <f t="shared" si="54"/>
        <v>2.5000000000000001E-3</v>
      </c>
      <c r="H435" s="8">
        <f t="shared" si="52"/>
        <v>21.5</v>
      </c>
      <c r="I435" s="8">
        <f t="shared" si="53"/>
        <v>43.01</v>
      </c>
    </row>
    <row r="436" spans="1:9" x14ac:dyDescent="0.2">
      <c r="A436" s="208">
        <v>38200</v>
      </c>
      <c r="B436" s="204" t="s">
        <v>386</v>
      </c>
      <c r="C436" s="6" t="s">
        <v>396</v>
      </c>
      <c r="D436" s="202">
        <v>41428</v>
      </c>
      <c r="E436" s="8">
        <v>24388.240000000002</v>
      </c>
      <c r="F436" s="17">
        <f t="shared" si="51"/>
        <v>4</v>
      </c>
      <c r="G436" s="236">
        <f t="shared" si="54"/>
        <v>2.5000000000000001E-3</v>
      </c>
      <c r="H436" s="8">
        <f t="shared" si="52"/>
        <v>243.88</v>
      </c>
      <c r="I436" s="8">
        <f t="shared" si="53"/>
        <v>731.65</v>
      </c>
    </row>
    <row r="437" spans="1:9" x14ac:dyDescent="0.2">
      <c r="A437" s="206">
        <v>38200</v>
      </c>
      <c r="B437" s="204" t="s">
        <v>385</v>
      </c>
      <c r="C437" s="6" t="s">
        <v>397</v>
      </c>
      <c r="D437" s="202">
        <v>41431</v>
      </c>
      <c r="E437" s="8">
        <v>1686.32</v>
      </c>
      <c r="F437" s="17">
        <f t="shared" si="51"/>
        <v>4</v>
      </c>
      <c r="G437" s="236">
        <f t="shared" si="54"/>
        <v>2.5000000000000001E-3</v>
      </c>
      <c r="H437" s="8">
        <f t="shared" si="52"/>
        <v>16.86</v>
      </c>
      <c r="I437" s="8">
        <f t="shared" si="53"/>
        <v>50.59</v>
      </c>
    </row>
    <row r="438" spans="1:9" x14ac:dyDescent="0.2">
      <c r="A438" s="208">
        <v>38200</v>
      </c>
      <c r="B438" s="204" t="s">
        <v>384</v>
      </c>
      <c r="C438" s="6" t="s">
        <v>396</v>
      </c>
      <c r="D438" s="202">
        <v>41278</v>
      </c>
      <c r="E438" s="243">
        <v>6155.4112588905928</v>
      </c>
      <c r="F438" s="17">
        <f t="shared" si="51"/>
        <v>9</v>
      </c>
      <c r="G438" s="236">
        <f t="shared" si="54"/>
        <v>2.5000000000000001E-3</v>
      </c>
      <c r="H438" s="8">
        <f t="shared" si="52"/>
        <v>138.5</v>
      </c>
      <c r="I438" s="8">
        <f t="shared" si="53"/>
        <v>184.66</v>
      </c>
    </row>
    <row r="439" spans="1:9" x14ac:dyDescent="0.2">
      <c r="A439" s="203" t="s">
        <v>601</v>
      </c>
      <c r="B439" s="204" t="s">
        <v>226</v>
      </c>
      <c r="C439" s="6" t="s">
        <v>351</v>
      </c>
      <c r="D439" s="202">
        <v>41061</v>
      </c>
      <c r="E439" s="243">
        <v>0.3</v>
      </c>
      <c r="F439" s="17">
        <f t="shared" ref="F439:F461" si="55">IF((YEAR($F$1)-YEAR($D439))*12+MONTH($F$1)-MONTH($D439)&gt;12,12,(YEAR($F$1)-YEAR($D439))*12+MONTH($F$1)-MONTH($D439))</f>
        <v>12</v>
      </c>
      <c r="G439" s="236">
        <f t="shared" ref="G439:G440" si="56">0.0216/12</f>
        <v>1.8000000000000002E-3</v>
      </c>
      <c r="H439" s="8">
        <f t="shared" ref="H439:H451" si="57">ROUND(E439*F439*G439,2)</f>
        <v>0.01</v>
      </c>
      <c r="I439" s="8">
        <f t="shared" ref="I439:I451" si="58">ROUND(E439*G439*12,2)</f>
        <v>0.01</v>
      </c>
    </row>
    <row r="440" spans="1:9" x14ac:dyDescent="0.2">
      <c r="A440" s="203" t="s">
        <v>601</v>
      </c>
      <c r="B440" s="204" t="s">
        <v>564</v>
      </c>
      <c r="C440" s="6" t="s">
        <v>556</v>
      </c>
      <c r="D440" s="7">
        <v>41091</v>
      </c>
      <c r="E440" s="243">
        <v>320.95999999999998</v>
      </c>
      <c r="F440" s="17">
        <f t="shared" si="55"/>
        <v>12</v>
      </c>
      <c r="G440" s="236">
        <f t="shared" si="56"/>
        <v>1.8000000000000002E-3</v>
      </c>
      <c r="H440" s="8">
        <f t="shared" si="57"/>
        <v>6.93</v>
      </c>
      <c r="I440" s="8">
        <f t="shared" si="58"/>
        <v>6.93</v>
      </c>
    </row>
    <row r="441" spans="1:9" x14ac:dyDescent="0.2">
      <c r="A441" s="203" t="s">
        <v>602</v>
      </c>
      <c r="B441" s="204" t="s">
        <v>182</v>
      </c>
      <c r="C441" s="6" t="s">
        <v>347</v>
      </c>
      <c r="D441" s="7">
        <v>41061</v>
      </c>
      <c r="E441" s="8">
        <v>149.39999999999998</v>
      </c>
      <c r="F441" s="17">
        <f t="shared" si="55"/>
        <v>12</v>
      </c>
      <c r="G441" s="236">
        <f t="shared" si="54"/>
        <v>2.5000000000000001E-3</v>
      </c>
      <c r="H441" s="8">
        <f t="shared" si="57"/>
        <v>4.4800000000000004</v>
      </c>
      <c r="I441" s="8">
        <f t="shared" si="58"/>
        <v>4.4800000000000004</v>
      </c>
    </row>
    <row r="442" spans="1:9" x14ac:dyDescent="0.2">
      <c r="A442" s="203" t="s">
        <v>602</v>
      </c>
      <c r="B442" s="204" t="s">
        <v>227</v>
      </c>
      <c r="C442" s="6" t="s">
        <v>352</v>
      </c>
      <c r="D442" s="7">
        <v>41061</v>
      </c>
      <c r="E442" s="243">
        <v>-83.9</v>
      </c>
      <c r="F442" s="17">
        <f t="shared" si="55"/>
        <v>12</v>
      </c>
      <c r="G442" s="236">
        <f t="shared" si="54"/>
        <v>2.5000000000000001E-3</v>
      </c>
      <c r="H442" s="8">
        <f t="shared" si="57"/>
        <v>-2.52</v>
      </c>
      <c r="I442" s="8">
        <f t="shared" si="58"/>
        <v>-2.52</v>
      </c>
    </row>
    <row r="443" spans="1:9" x14ac:dyDescent="0.2">
      <c r="A443" s="203" t="s">
        <v>602</v>
      </c>
      <c r="B443" s="204" t="s">
        <v>564</v>
      </c>
      <c r="C443" s="6" t="s">
        <v>556</v>
      </c>
      <c r="D443" s="7">
        <v>41091</v>
      </c>
      <c r="E443" s="243">
        <v>1510.44</v>
      </c>
      <c r="F443" s="17">
        <f t="shared" si="55"/>
        <v>12</v>
      </c>
      <c r="G443" s="236">
        <f t="shared" si="54"/>
        <v>2.5000000000000001E-3</v>
      </c>
      <c r="H443" s="8">
        <f t="shared" si="57"/>
        <v>45.31</v>
      </c>
      <c r="I443" s="8">
        <f t="shared" si="58"/>
        <v>45.31</v>
      </c>
    </row>
    <row r="444" spans="1:9" x14ac:dyDescent="0.2">
      <c r="A444" s="203" t="s">
        <v>602</v>
      </c>
      <c r="B444" s="204" t="s">
        <v>228</v>
      </c>
      <c r="C444" s="6" t="s">
        <v>358</v>
      </c>
      <c r="D444" s="7">
        <v>41061</v>
      </c>
      <c r="E444" s="243">
        <v>8676.14</v>
      </c>
      <c r="F444" s="17">
        <f t="shared" si="55"/>
        <v>12</v>
      </c>
      <c r="G444" s="236">
        <f t="shared" si="54"/>
        <v>2.5000000000000001E-3</v>
      </c>
      <c r="H444" s="8">
        <f t="shared" si="57"/>
        <v>260.27999999999997</v>
      </c>
      <c r="I444" s="8">
        <f t="shared" si="58"/>
        <v>260.27999999999997</v>
      </c>
    </row>
    <row r="445" spans="1:9" x14ac:dyDescent="0.2">
      <c r="A445" s="203" t="s">
        <v>602</v>
      </c>
      <c r="B445" s="204" t="s">
        <v>228</v>
      </c>
      <c r="C445" s="6" t="s">
        <v>358</v>
      </c>
      <c r="D445" s="7">
        <v>41091</v>
      </c>
      <c r="E445" s="243">
        <v>4570.2299999999996</v>
      </c>
      <c r="F445" s="17">
        <f t="shared" si="55"/>
        <v>12</v>
      </c>
      <c r="G445" s="236">
        <f t="shared" si="54"/>
        <v>2.5000000000000001E-3</v>
      </c>
      <c r="H445" s="8">
        <f t="shared" si="57"/>
        <v>137.11000000000001</v>
      </c>
      <c r="I445" s="8">
        <f t="shared" si="58"/>
        <v>137.11000000000001</v>
      </c>
    </row>
    <row r="446" spans="1:9" x14ac:dyDescent="0.2">
      <c r="A446" s="203" t="s">
        <v>603</v>
      </c>
      <c r="B446" s="204" t="s">
        <v>182</v>
      </c>
      <c r="C446" s="6" t="s">
        <v>347</v>
      </c>
      <c r="D446" s="7">
        <v>41061</v>
      </c>
      <c r="E446" s="243">
        <v>-149.4</v>
      </c>
      <c r="F446" s="17">
        <f t="shared" si="55"/>
        <v>12</v>
      </c>
      <c r="G446" s="236">
        <f t="shared" ref="G446:G448" si="59">0.0455/12</f>
        <v>3.7916666666666667E-3</v>
      </c>
      <c r="H446" s="8">
        <f t="shared" si="57"/>
        <v>-6.8</v>
      </c>
      <c r="I446" s="8">
        <f t="shared" si="58"/>
        <v>-6.8</v>
      </c>
    </row>
    <row r="447" spans="1:9" x14ac:dyDescent="0.2">
      <c r="A447" s="203" t="s">
        <v>603</v>
      </c>
      <c r="B447" s="204" t="s">
        <v>229</v>
      </c>
      <c r="C447" s="6" t="s">
        <v>356</v>
      </c>
      <c r="D447" s="7">
        <v>41061</v>
      </c>
      <c r="E447" s="8">
        <v>0.12000000000000001</v>
      </c>
      <c r="F447" s="17">
        <f t="shared" si="55"/>
        <v>12</v>
      </c>
      <c r="G447" s="236">
        <f t="shared" si="59"/>
        <v>3.7916666666666667E-3</v>
      </c>
      <c r="H447" s="8">
        <f t="shared" si="57"/>
        <v>0.01</v>
      </c>
      <c r="I447" s="8">
        <f t="shared" si="58"/>
        <v>0.01</v>
      </c>
    </row>
    <row r="448" spans="1:9" x14ac:dyDescent="0.2">
      <c r="A448" s="203" t="s">
        <v>603</v>
      </c>
      <c r="B448" s="204" t="s">
        <v>564</v>
      </c>
      <c r="C448" s="6" t="s">
        <v>556</v>
      </c>
      <c r="D448" s="7">
        <v>41091</v>
      </c>
      <c r="E448" s="8">
        <v>56.64</v>
      </c>
      <c r="F448" s="17">
        <f t="shared" si="55"/>
        <v>12</v>
      </c>
      <c r="G448" s="236">
        <f t="shared" si="59"/>
        <v>3.7916666666666667E-3</v>
      </c>
      <c r="H448" s="8">
        <f t="shared" si="57"/>
        <v>2.58</v>
      </c>
      <c r="I448" s="8">
        <f t="shared" si="58"/>
        <v>2.58</v>
      </c>
    </row>
    <row r="449" spans="1:9" x14ac:dyDescent="0.2">
      <c r="A449" s="203" t="s">
        <v>601</v>
      </c>
      <c r="B449" s="204" t="s">
        <v>564</v>
      </c>
      <c r="C449" s="6" t="s">
        <v>556</v>
      </c>
      <c r="D449" s="7">
        <v>41122</v>
      </c>
      <c r="E449" s="243">
        <v>-7.09</v>
      </c>
      <c r="F449" s="17">
        <f t="shared" si="55"/>
        <v>12</v>
      </c>
      <c r="G449" s="236">
        <f t="shared" ref="G449:G451" si="60">0.0216/12</f>
        <v>1.8000000000000002E-3</v>
      </c>
      <c r="H449" s="8">
        <f t="shared" si="57"/>
        <v>-0.15</v>
      </c>
      <c r="I449" s="8">
        <f t="shared" si="58"/>
        <v>-0.15</v>
      </c>
    </row>
    <row r="450" spans="1:9" x14ac:dyDescent="0.2">
      <c r="A450" s="203" t="s">
        <v>601</v>
      </c>
      <c r="B450" s="155" t="s">
        <v>564</v>
      </c>
      <c r="C450" s="6" t="s">
        <v>556</v>
      </c>
      <c r="D450" s="7">
        <v>41153</v>
      </c>
      <c r="E450" s="243">
        <v>9.0400000000000009</v>
      </c>
      <c r="F450" s="17">
        <f t="shared" si="55"/>
        <v>12</v>
      </c>
      <c r="G450" s="236">
        <f t="shared" si="60"/>
        <v>1.8000000000000002E-3</v>
      </c>
      <c r="H450" s="8">
        <f t="shared" si="57"/>
        <v>0.2</v>
      </c>
      <c r="I450" s="8">
        <f t="shared" si="58"/>
        <v>0.2</v>
      </c>
    </row>
    <row r="451" spans="1:9" x14ac:dyDescent="0.2">
      <c r="A451" s="203" t="s">
        <v>601</v>
      </c>
      <c r="B451" s="155" t="s">
        <v>564</v>
      </c>
      <c r="C451" s="6" t="s">
        <v>556</v>
      </c>
      <c r="D451" s="7">
        <v>41183</v>
      </c>
      <c r="E451" s="8">
        <v>58.74</v>
      </c>
      <c r="F451" s="17">
        <f t="shared" si="55"/>
        <v>12</v>
      </c>
      <c r="G451" s="236">
        <f t="shared" si="60"/>
        <v>1.8000000000000002E-3</v>
      </c>
      <c r="H451" s="8">
        <f t="shared" si="57"/>
        <v>1.27</v>
      </c>
      <c r="I451" s="8">
        <f t="shared" si="58"/>
        <v>1.27</v>
      </c>
    </row>
    <row r="452" spans="1:9" x14ac:dyDescent="0.2">
      <c r="A452" s="203" t="s">
        <v>602</v>
      </c>
      <c r="B452" s="6" t="s">
        <v>595</v>
      </c>
      <c r="C452" s="6" t="s">
        <v>555</v>
      </c>
      <c r="D452" s="202">
        <v>41153</v>
      </c>
      <c r="E452" s="8">
        <v>89.77</v>
      </c>
      <c r="F452" s="17">
        <f t="shared" si="55"/>
        <v>12</v>
      </c>
      <c r="G452" s="236">
        <f t="shared" si="54"/>
        <v>2.5000000000000001E-3</v>
      </c>
      <c r="H452" s="8">
        <f t="shared" ref="H452:H461" si="61">ROUND(E452*F452*G452,2)</f>
        <v>2.69</v>
      </c>
      <c r="I452" s="8">
        <f t="shared" ref="I452:I461" si="62">ROUND(E452*G452*12,2)</f>
        <v>2.69</v>
      </c>
    </row>
    <row r="453" spans="1:9" x14ac:dyDescent="0.2">
      <c r="A453" s="203" t="s">
        <v>602</v>
      </c>
      <c r="B453" s="6" t="s">
        <v>564</v>
      </c>
      <c r="C453" s="6" t="s">
        <v>556</v>
      </c>
      <c r="D453" s="202">
        <v>41122</v>
      </c>
      <c r="E453" s="8">
        <v>-33.35</v>
      </c>
      <c r="F453" s="17">
        <f t="shared" si="55"/>
        <v>12</v>
      </c>
      <c r="G453" s="236">
        <f t="shared" si="54"/>
        <v>2.5000000000000001E-3</v>
      </c>
      <c r="H453" s="8">
        <f t="shared" si="61"/>
        <v>-1</v>
      </c>
      <c r="I453" s="8">
        <f t="shared" si="62"/>
        <v>-1</v>
      </c>
    </row>
    <row r="454" spans="1:9" x14ac:dyDescent="0.2">
      <c r="A454" s="203" t="s">
        <v>602</v>
      </c>
      <c r="B454" s="6" t="s">
        <v>564</v>
      </c>
      <c r="C454" s="6" t="s">
        <v>556</v>
      </c>
      <c r="D454" s="202">
        <v>41153</v>
      </c>
      <c r="E454" s="8">
        <v>42.56</v>
      </c>
      <c r="F454" s="17">
        <f t="shared" si="55"/>
        <v>12</v>
      </c>
      <c r="G454" s="236">
        <f t="shared" si="54"/>
        <v>2.5000000000000001E-3</v>
      </c>
      <c r="H454" s="8">
        <f t="shared" si="61"/>
        <v>1.28</v>
      </c>
      <c r="I454" s="8">
        <f t="shared" si="62"/>
        <v>1.28</v>
      </c>
    </row>
    <row r="455" spans="1:9" x14ac:dyDescent="0.2">
      <c r="A455" s="203" t="s">
        <v>602</v>
      </c>
      <c r="B455" s="6" t="s">
        <v>564</v>
      </c>
      <c r="C455" s="6" t="s">
        <v>556</v>
      </c>
      <c r="D455" s="202">
        <v>41183</v>
      </c>
      <c r="E455" s="8">
        <v>276.43</v>
      </c>
      <c r="F455" s="17">
        <f t="shared" si="55"/>
        <v>12</v>
      </c>
      <c r="G455" s="236">
        <f t="shared" si="54"/>
        <v>2.5000000000000001E-3</v>
      </c>
      <c r="H455" s="8">
        <f t="shared" si="61"/>
        <v>8.2899999999999991</v>
      </c>
      <c r="I455" s="8">
        <f t="shared" si="62"/>
        <v>8.2899999999999991</v>
      </c>
    </row>
    <row r="456" spans="1:9" x14ac:dyDescent="0.2">
      <c r="A456" s="203" t="s">
        <v>602</v>
      </c>
      <c r="B456" s="6" t="s">
        <v>228</v>
      </c>
      <c r="C456" s="6" t="s">
        <v>358</v>
      </c>
      <c r="D456" s="202">
        <v>41122</v>
      </c>
      <c r="E456" s="8">
        <v>1430.51</v>
      </c>
      <c r="F456" s="17">
        <f t="shared" si="55"/>
        <v>12</v>
      </c>
      <c r="G456" s="236">
        <f t="shared" si="54"/>
        <v>2.5000000000000001E-3</v>
      </c>
      <c r="H456" s="8">
        <f t="shared" si="61"/>
        <v>42.92</v>
      </c>
      <c r="I456" s="8">
        <f t="shared" si="62"/>
        <v>42.92</v>
      </c>
    </row>
    <row r="457" spans="1:9" x14ac:dyDescent="0.2">
      <c r="A457" s="203" t="s">
        <v>602</v>
      </c>
      <c r="B457" s="6" t="s">
        <v>228</v>
      </c>
      <c r="C457" s="6" t="s">
        <v>358</v>
      </c>
      <c r="D457" s="202">
        <v>41153</v>
      </c>
      <c r="E457" s="8">
        <v>20176.02</v>
      </c>
      <c r="F457" s="17">
        <f t="shared" si="55"/>
        <v>12</v>
      </c>
      <c r="G457" s="236">
        <f t="shared" si="54"/>
        <v>2.5000000000000001E-3</v>
      </c>
      <c r="H457" s="8">
        <f t="shared" si="61"/>
        <v>605.28</v>
      </c>
      <c r="I457" s="8">
        <f t="shared" si="62"/>
        <v>605.28</v>
      </c>
    </row>
    <row r="458" spans="1:9" x14ac:dyDescent="0.2">
      <c r="A458" s="203" t="s">
        <v>602</v>
      </c>
      <c r="B458" s="6" t="s">
        <v>228</v>
      </c>
      <c r="C458" s="6" t="s">
        <v>358</v>
      </c>
      <c r="D458" s="202">
        <v>41183</v>
      </c>
      <c r="E458" s="8">
        <v>4699.01</v>
      </c>
      <c r="F458" s="17">
        <f t="shared" si="55"/>
        <v>12</v>
      </c>
      <c r="G458" s="236">
        <f t="shared" si="54"/>
        <v>2.5000000000000001E-3</v>
      </c>
      <c r="H458" s="8">
        <f t="shared" si="61"/>
        <v>140.97</v>
      </c>
      <c r="I458" s="8">
        <f t="shared" si="62"/>
        <v>140.97</v>
      </c>
    </row>
    <row r="459" spans="1:9" x14ac:dyDescent="0.2">
      <c r="A459" s="203" t="s">
        <v>603</v>
      </c>
      <c r="B459" s="6" t="s">
        <v>564</v>
      </c>
      <c r="C459" s="6" t="s">
        <v>556</v>
      </c>
      <c r="D459" s="202">
        <v>41122</v>
      </c>
      <c r="E459" s="8">
        <v>-1.25</v>
      </c>
      <c r="F459" s="17">
        <f t="shared" si="55"/>
        <v>12</v>
      </c>
      <c r="G459" s="236">
        <f t="shared" ref="G459:G461" si="63">0.0455/12</f>
        <v>3.7916666666666667E-3</v>
      </c>
      <c r="H459" s="8">
        <f t="shared" si="61"/>
        <v>-0.06</v>
      </c>
      <c r="I459" s="8">
        <f t="shared" si="62"/>
        <v>-0.06</v>
      </c>
    </row>
    <row r="460" spans="1:9" x14ac:dyDescent="0.2">
      <c r="A460" s="203" t="s">
        <v>603</v>
      </c>
      <c r="B460" s="6" t="s">
        <v>564</v>
      </c>
      <c r="C460" s="6" t="s">
        <v>556</v>
      </c>
      <c r="D460" s="202">
        <v>41153</v>
      </c>
      <c r="E460" s="8">
        <v>1.59</v>
      </c>
      <c r="F460" s="17">
        <f t="shared" si="55"/>
        <v>12</v>
      </c>
      <c r="G460" s="236">
        <f t="shared" si="63"/>
        <v>3.7916666666666667E-3</v>
      </c>
      <c r="H460" s="8">
        <f t="shared" si="61"/>
        <v>7.0000000000000007E-2</v>
      </c>
      <c r="I460" s="8">
        <f t="shared" si="62"/>
        <v>7.0000000000000007E-2</v>
      </c>
    </row>
    <row r="461" spans="1:9" x14ac:dyDescent="0.2">
      <c r="A461" s="203" t="s">
        <v>603</v>
      </c>
      <c r="B461" s="6" t="s">
        <v>564</v>
      </c>
      <c r="C461" s="6" t="s">
        <v>556</v>
      </c>
      <c r="D461" s="202">
        <v>41183</v>
      </c>
      <c r="E461" s="8">
        <v>10.36</v>
      </c>
      <c r="F461" s="17">
        <f t="shared" si="55"/>
        <v>12</v>
      </c>
      <c r="G461" s="236">
        <f t="shared" si="63"/>
        <v>3.7916666666666667E-3</v>
      </c>
      <c r="H461" s="8">
        <f t="shared" si="61"/>
        <v>0.47</v>
      </c>
      <c r="I461" s="8">
        <f t="shared" si="62"/>
        <v>0.47</v>
      </c>
    </row>
    <row r="462" spans="1:9" x14ac:dyDescent="0.2">
      <c r="A462" s="3"/>
      <c r="B462" s="3"/>
      <c r="C462" s="3"/>
      <c r="D462" s="9"/>
      <c r="E462" s="182"/>
      <c r="F462" s="11"/>
      <c r="G462" s="161"/>
      <c r="H462" s="10"/>
      <c r="I462" s="10"/>
    </row>
    <row r="463" spans="1:9" ht="13.5" thickBot="1" x14ac:dyDescent="0.25">
      <c r="A463" s="3"/>
      <c r="B463" s="3"/>
      <c r="C463" s="12" t="s">
        <v>25</v>
      </c>
      <c r="D463" s="9"/>
      <c r="E463" s="244">
        <f>SUM(E431:E461)</f>
        <v>108595.50000000001</v>
      </c>
      <c r="F463" s="151"/>
      <c r="G463" s="161"/>
      <c r="H463" s="13">
        <f>SUM(H431:H461)</f>
        <v>2243.8599999999997</v>
      </c>
      <c r="I463" s="13">
        <f>SUM(I431:I461)</f>
        <v>3126.75</v>
      </c>
    </row>
    <row r="464" spans="1:9" ht="13.5" thickTop="1" x14ac:dyDescent="0.2">
      <c r="A464" s="3"/>
      <c r="B464" s="3"/>
      <c r="C464" s="3"/>
      <c r="D464" s="9"/>
      <c r="E464" s="182"/>
      <c r="F464" s="11"/>
      <c r="G464" s="161"/>
      <c r="H464" s="10"/>
      <c r="I464" s="10"/>
    </row>
    <row r="465" spans="1:9" x14ac:dyDescent="0.2">
      <c r="A465" s="3"/>
      <c r="B465" s="3"/>
      <c r="C465" s="3"/>
      <c r="D465" s="9"/>
      <c r="E465" s="182"/>
      <c r="F465" s="11"/>
      <c r="G465" s="161"/>
      <c r="H465" s="10"/>
      <c r="I465" s="10"/>
    </row>
    <row r="466" spans="1:9" x14ac:dyDescent="0.2">
      <c r="A466" s="2" t="s">
        <v>37</v>
      </c>
      <c r="B466" s="3"/>
      <c r="C466" s="3"/>
      <c r="D466" s="9"/>
      <c r="E466" s="182"/>
      <c r="F466" s="11"/>
      <c r="G466" s="161"/>
      <c r="H466" s="10"/>
      <c r="I466" s="10"/>
    </row>
    <row r="467" spans="1:9" x14ac:dyDescent="0.2">
      <c r="A467" s="3"/>
      <c r="B467" s="3"/>
      <c r="C467" s="3"/>
      <c r="D467" s="9"/>
      <c r="E467" s="182"/>
      <c r="F467" s="11"/>
      <c r="G467" s="161"/>
      <c r="H467" s="10"/>
      <c r="I467" s="10"/>
    </row>
    <row r="468" spans="1:9" x14ac:dyDescent="0.2">
      <c r="A468" s="206">
        <v>38200</v>
      </c>
      <c r="B468" s="204" t="s">
        <v>466</v>
      </c>
      <c r="C468" s="6" t="s">
        <v>395</v>
      </c>
      <c r="D468" s="202">
        <v>41295</v>
      </c>
      <c r="E468" s="8">
        <v>12941.140000000009</v>
      </c>
      <c r="F468" s="17">
        <f t="shared" ref="F468:F491" si="64">IF((YEAR($F$1)-YEAR($D468))*12+MONTH($F$1)-MONTH($D468)&gt;12,12,(YEAR($F$1)-YEAR($D468))*12+MONTH($F$1)-MONTH($D468))</f>
        <v>9</v>
      </c>
      <c r="G468" s="236">
        <f>0.0296/12</f>
        <v>2.4666666666666669E-3</v>
      </c>
      <c r="H468" s="8">
        <f t="shared" ref="H468:H492" si="65">ROUND(E468*F468*G468,2)</f>
        <v>287.29000000000002</v>
      </c>
      <c r="I468" s="8">
        <f t="shared" ref="I468:I475" si="66">ROUND(E468*G468*12,2)</f>
        <v>383.06</v>
      </c>
    </row>
    <row r="469" spans="1:9" x14ac:dyDescent="0.2">
      <c r="A469" s="206">
        <v>38200</v>
      </c>
      <c r="B469" s="204" t="s">
        <v>467</v>
      </c>
      <c r="C469" s="6" t="s">
        <v>396</v>
      </c>
      <c r="D469" s="202">
        <v>41298</v>
      </c>
      <c r="E469" s="8">
        <v>16332.430000000006</v>
      </c>
      <c r="F469" s="17">
        <f t="shared" si="64"/>
        <v>9</v>
      </c>
      <c r="G469" s="236">
        <f t="shared" ref="G469:G523" si="67">0.0296/12</f>
        <v>2.4666666666666669E-3</v>
      </c>
      <c r="H469" s="8">
        <f t="shared" si="65"/>
        <v>362.58</v>
      </c>
      <c r="I469" s="8">
        <f t="shared" si="66"/>
        <v>483.44</v>
      </c>
    </row>
    <row r="470" spans="1:9" x14ac:dyDescent="0.2">
      <c r="A470" s="206">
        <v>38200</v>
      </c>
      <c r="B470" s="204" t="s">
        <v>468</v>
      </c>
      <c r="C470" s="6" t="s">
        <v>397</v>
      </c>
      <c r="D470" s="202">
        <v>41302</v>
      </c>
      <c r="E470" s="8">
        <v>765.41</v>
      </c>
      <c r="F470" s="17">
        <f t="shared" si="64"/>
        <v>9</v>
      </c>
      <c r="G470" s="236">
        <f t="shared" si="67"/>
        <v>2.4666666666666669E-3</v>
      </c>
      <c r="H470" s="8">
        <f t="shared" si="65"/>
        <v>16.989999999999998</v>
      </c>
      <c r="I470" s="8">
        <f t="shared" si="66"/>
        <v>22.66</v>
      </c>
    </row>
    <row r="471" spans="1:9" x14ac:dyDescent="0.2">
      <c r="A471" s="206">
        <v>38200</v>
      </c>
      <c r="B471" s="204" t="s">
        <v>469</v>
      </c>
      <c r="C471" s="6" t="s">
        <v>396</v>
      </c>
      <c r="D471" s="202">
        <v>41367</v>
      </c>
      <c r="E471" s="8">
        <v>32229.589999999789</v>
      </c>
      <c r="F471" s="17">
        <f t="shared" si="64"/>
        <v>6</v>
      </c>
      <c r="G471" s="236">
        <f t="shared" si="67"/>
        <v>2.4666666666666669E-3</v>
      </c>
      <c r="H471" s="8">
        <f t="shared" si="65"/>
        <v>477</v>
      </c>
      <c r="I471" s="8">
        <f t="shared" si="66"/>
        <v>954</v>
      </c>
    </row>
    <row r="472" spans="1:9" x14ac:dyDescent="0.2">
      <c r="A472" s="206">
        <v>38200</v>
      </c>
      <c r="B472" s="204" t="s">
        <v>470</v>
      </c>
      <c r="C472" s="6" t="s">
        <v>397</v>
      </c>
      <c r="D472" s="202">
        <v>41367</v>
      </c>
      <c r="E472" s="8">
        <v>6524.420000000001</v>
      </c>
      <c r="F472" s="17">
        <f t="shared" si="64"/>
        <v>6</v>
      </c>
      <c r="G472" s="236">
        <f t="shared" si="67"/>
        <v>2.4666666666666669E-3</v>
      </c>
      <c r="H472" s="8">
        <f t="shared" si="65"/>
        <v>96.56</v>
      </c>
      <c r="I472" s="8">
        <f t="shared" si="66"/>
        <v>193.12</v>
      </c>
    </row>
    <row r="473" spans="1:9" x14ac:dyDescent="0.2">
      <c r="A473" s="206">
        <v>38200</v>
      </c>
      <c r="B473" s="204" t="s">
        <v>471</v>
      </c>
      <c r="C473" s="6" t="s">
        <v>396</v>
      </c>
      <c r="D473" s="202">
        <v>41428</v>
      </c>
      <c r="E473" s="8">
        <v>45643.360000000001</v>
      </c>
      <c r="F473" s="17">
        <f t="shared" si="64"/>
        <v>4</v>
      </c>
      <c r="G473" s="236">
        <f t="shared" si="67"/>
        <v>2.4666666666666669E-3</v>
      </c>
      <c r="H473" s="8">
        <f t="shared" si="65"/>
        <v>450.35</v>
      </c>
      <c r="I473" s="8">
        <f t="shared" si="66"/>
        <v>1351.04</v>
      </c>
    </row>
    <row r="474" spans="1:9" x14ac:dyDescent="0.2">
      <c r="A474" s="206">
        <v>38200</v>
      </c>
      <c r="B474" s="204" t="s">
        <v>472</v>
      </c>
      <c r="C474" s="6" t="s">
        <v>397</v>
      </c>
      <c r="D474" s="202">
        <v>41428</v>
      </c>
      <c r="E474" s="8">
        <v>1995.33</v>
      </c>
      <c r="F474" s="17">
        <f t="shared" si="64"/>
        <v>4</v>
      </c>
      <c r="G474" s="236">
        <f t="shared" si="67"/>
        <v>2.4666666666666669E-3</v>
      </c>
      <c r="H474" s="8">
        <f t="shared" si="65"/>
        <v>19.690000000000001</v>
      </c>
      <c r="I474" s="8">
        <f t="shared" si="66"/>
        <v>59.06</v>
      </c>
    </row>
    <row r="475" spans="1:9" x14ac:dyDescent="0.2">
      <c r="A475" s="206">
        <v>38200</v>
      </c>
      <c r="B475" s="204" t="s">
        <v>473</v>
      </c>
      <c r="C475" s="6" t="s">
        <v>396</v>
      </c>
      <c r="D475" s="202">
        <v>41297</v>
      </c>
      <c r="E475" s="8">
        <v>14006.19</v>
      </c>
      <c r="F475" s="17">
        <f t="shared" si="64"/>
        <v>9</v>
      </c>
      <c r="G475" s="236">
        <f t="shared" si="67"/>
        <v>2.4666666666666669E-3</v>
      </c>
      <c r="H475" s="8">
        <f t="shared" si="65"/>
        <v>310.94</v>
      </c>
      <c r="I475" s="8">
        <f t="shared" si="66"/>
        <v>414.58</v>
      </c>
    </row>
    <row r="476" spans="1:9" x14ac:dyDescent="0.2">
      <c r="A476" s="206">
        <v>38200</v>
      </c>
      <c r="B476" s="204" t="s">
        <v>474</v>
      </c>
      <c r="C476" s="6" t="s">
        <v>397</v>
      </c>
      <c r="D476" s="202">
        <v>41297</v>
      </c>
      <c r="E476" s="8">
        <v>5659.840000000002</v>
      </c>
      <c r="F476" s="17">
        <f t="shared" si="64"/>
        <v>9</v>
      </c>
      <c r="G476" s="236">
        <f t="shared" si="67"/>
        <v>2.4666666666666669E-3</v>
      </c>
      <c r="H476" s="8">
        <f t="shared" si="65"/>
        <v>125.65</v>
      </c>
      <c r="I476" s="8">
        <f t="shared" ref="I476:I488" si="68">ROUND(E476*G476*12,2)</f>
        <v>167.53</v>
      </c>
    </row>
    <row r="477" spans="1:9" x14ac:dyDescent="0.2">
      <c r="A477" s="206">
        <v>38200</v>
      </c>
      <c r="B477" s="204" t="s">
        <v>475</v>
      </c>
      <c r="C477" s="6" t="s">
        <v>396</v>
      </c>
      <c r="D477" s="202">
        <v>41367</v>
      </c>
      <c r="E477" s="8">
        <v>14608.68</v>
      </c>
      <c r="F477" s="17">
        <f t="shared" si="64"/>
        <v>6</v>
      </c>
      <c r="G477" s="236">
        <f t="shared" si="67"/>
        <v>2.4666666666666669E-3</v>
      </c>
      <c r="H477" s="8">
        <f t="shared" si="65"/>
        <v>216.21</v>
      </c>
      <c r="I477" s="8">
        <f t="shared" si="68"/>
        <v>432.42</v>
      </c>
    </row>
    <row r="478" spans="1:9" x14ac:dyDescent="0.2">
      <c r="A478" s="206">
        <v>38200</v>
      </c>
      <c r="B478" s="204" t="s">
        <v>476</v>
      </c>
      <c r="C478" s="6" t="s">
        <v>397</v>
      </c>
      <c r="D478" s="202">
        <v>41367</v>
      </c>
      <c r="E478" s="8">
        <v>6412.17</v>
      </c>
      <c r="F478" s="17">
        <f t="shared" si="64"/>
        <v>6</v>
      </c>
      <c r="G478" s="236">
        <f t="shared" si="67"/>
        <v>2.4666666666666669E-3</v>
      </c>
      <c r="H478" s="8">
        <f t="shared" si="65"/>
        <v>94.9</v>
      </c>
      <c r="I478" s="8">
        <f t="shared" si="68"/>
        <v>189.8</v>
      </c>
    </row>
    <row r="479" spans="1:9" x14ac:dyDescent="0.2">
      <c r="A479" s="206">
        <v>38200</v>
      </c>
      <c r="B479" s="204" t="s">
        <v>477</v>
      </c>
      <c r="C479" s="6" t="s">
        <v>396</v>
      </c>
      <c r="D479" s="202">
        <v>41428</v>
      </c>
      <c r="E479" s="8">
        <v>5761.9600000000009</v>
      </c>
      <c r="F479" s="17">
        <f t="shared" si="64"/>
        <v>4</v>
      </c>
      <c r="G479" s="236">
        <f t="shared" si="67"/>
        <v>2.4666666666666669E-3</v>
      </c>
      <c r="H479" s="8">
        <f t="shared" si="65"/>
        <v>56.85</v>
      </c>
      <c r="I479" s="8">
        <f t="shared" si="68"/>
        <v>170.55</v>
      </c>
    </row>
    <row r="480" spans="1:9" x14ac:dyDescent="0.2">
      <c r="A480" s="206">
        <v>38200</v>
      </c>
      <c r="B480" s="204" t="s">
        <v>478</v>
      </c>
      <c r="C480" s="6" t="s">
        <v>397</v>
      </c>
      <c r="D480" s="202">
        <v>41428</v>
      </c>
      <c r="E480" s="8">
        <v>5661.72</v>
      </c>
      <c r="F480" s="17">
        <f t="shared" si="64"/>
        <v>4</v>
      </c>
      <c r="G480" s="236">
        <f t="shared" si="67"/>
        <v>2.4666666666666669E-3</v>
      </c>
      <c r="H480" s="8">
        <f t="shared" si="65"/>
        <v>55.86</v>
      </c>
      <c r="I480" s="8">
        <f t="shared" si="68"/>
        <v>167.59</v>
      </c>
    </row>
    <row r="481" spans="1:9" x14ac:dyDescent="0.2">
      <c r="A481" s="206">
        <v>38200</v>
      </c>
      <c r="B481" s="204" t="s">
        <v>479</v>
      </c>
      <c r="C481" s="6" t="s">
        <v>396</v>
      </c>
      <c r="D481" s="202">
        <v>41297</v>
      </c>
      <c r="E481" s="8">
        <v>9977.2500000000182</v>
      </c>
      <c r="F481" s="17">
        <f t="shared" si="64"/>
        <v>9</v>
      </c>
      <c r="G481" s="236">
        <f t="shared" si="67"/>
        <v>2.4666666666666669E-3</v>
      </c>
      <c r="H481" s="8">
        <f t="shared" si="65"/>
        <v>221.49</v>
      </c>
      <c r="I481" s="8">
        <f t="shared" si="68"/>
        <v>295.33</v>
      </c>
    </row>
    <row r="482" spans="1:9" x14ac:dyDescent="0.2">
      <c r="A482" s="206">
        <v>38200</v>
      </c>
      <c r="B482" s="204" t="s">
        <v>480</v>
      </c>
      <c r="C482" s="6" t="s">
        <v>397</v>
      </c>
      <c r="D482" s="202">
        <v>41297</v>
      </c>
      <c r="E482" s="8">
        <v>574.26</v>
      </c>
      <c r="F482" s="17">
        <f t="shared" si="64"/>
        <v>9</v>
      </c>
      <c r="G482" s="236">
        <f t="shared" si="67"/>
        <v>2.4666666666666669E-3</v>
      </c>
      <c r="H482" s="8">
        <f t="shared" si="65"/>
        <v>12.75</v>
      </c>
      <c r="I482" s="8">
        <f t="shared" si="68"/>
        <v>17</v>
      </c>
    </row>
    <row r="483" spans="1:9" x14ac:dyDescent="0.2">
      <c r="A483" s="206">
        <v>38200</v>
      </c>
      <c r="B483" s="204" t="s">
        <v>481</v>
      </c>
      <c r="C483" s="6" t="s">
        <v>396</v>
      </c>
      <c r="D483" s="202">
        <v>41367</v>
      </c>
      <c r="E483" s="8">
        <v>21740.569999999942</v>
      </c>
      <c r="F483" s="17">
        <f t="shared" si="64"/>
        <v>6</v>
      </c>
      <c r="G483" s="236">
        <f t="shared" si="67"/>
        <v>2.4666666666666669E-3</v>
      </c>
      <c r="H483" s="8">
        <f t="shared" si="65"/>
        <v>321.76</v>
      </c>
      <c r="I483" s="8">
        <f t="shared" si="68"/>
        <v>643.52</v>
      </c>
    </row>
    <row r="484" spans="1:9" x14ac:dyDescent="0.2">
      <c r="A484" s="206">
        <v>38200</v>
      </c>
      <c r="B484" s="204" t="s">
        <v>482</v>
      </c>
      <c r="C484" s="6" t="s">
        <v>397</v>
      </c>
      <c r="D484" s="202">
        <v>41367</v>
      </c>
      <c r="E484" s="8">
        <v>1291.02</v>
      </c>
      <c r="F484" s="17">
        <f t="shared" si="64"/>
        <v>6</v>
      </c>
      <c r="G484" s="236">
        <f t="shared" si="67"/>
        <v>2.4666666666666669E-3</v>
      </c>
      <c r="H484" s="8">
        <f t="shared" si="65"/>
        <v>19.11</v>
      </c>
      <c r="I484" s="8">
        <f t="shared" si="68"/>
        <v>38.21</v>
      </c>
    </row>
    <row r="485" spans="1:9" x14ac:dyDescent="0.2">
      <c r="A485" s="206">
        <v>38200</v>
      </c>
      <c r="B485" s="204" t="s">
        <v>483</v>
      </c>
      <c r="C485" s="6" t="s">
        <v>396</v>
      </c>
      <c r="D485" s="202">
        <v>41428</v>
      </c>
      <c r="E485" s="8">
        <v>11884.790000000005</v>
      </c>
      <c r="F485" s="17">
        <f t="shared" si="64"/>
        <v>4</v>
      </c>
      <c r="G485" s="236">
        <f t="shared" si="67"/>
        <v>2.4666666666666669E-3</v>
      </c>
      <c r="H485" s="8">
        <f t="shared" si="65"/>
        <v>117.26</v>
      </c>
      <c r="I485" s="8">
        <f t="shared" si="68"/>
        <v>351.79</v>
      </c>
    </row>
    <row r="486" spans="1:9" x14ac:dyDescent="0.2">
      <c r="A486" s="206">
        <v>38200</v>
      </c>
      <c r="B486" s="204" t="s">
        <v>484</v>
      </c>
      <c r="C486" s="6" t="s">
        <v>397</v>
      </c>
      <c r="D486" s="202">
        <v>41428</v>
      </c>
      <c r="E486" s="8">
        <v>1718.61</v>
      </c>
      <c r="F486" s="17">
        <f t="shared" si="64"/>
        <v>4</v>
      </c>
      <c r="G486" s="236">
        <f t="shared" si="67"/>
        <v>2.4666666666666669E-3</v>
      </c>
      <c r="H486" s="8">
        <f t="shared" si="65"/>
        <v>16.96</v>
      </c>
      <c r="I486" s="8">
        <f t="shared" si="68"/>
        <v>50.87</v>
      </c>
    </row>
    <row r="487" spans="1:9" x14ac:dyDescent="0.2">
      <c r="A487" s="206">
        <v>38200</v>
      </c>
      <c r="B487" s="204" t="s">
        <v>485</v>
      </c>
      <c r="C487" s="6" t="s">
        <v>396</v>
      </c>
      <c r="D487" s="202">
        <v>41297</v>
      </c>
      <c r="E487" s="8">
        <v>10015.800000000001</v>
      </c>
      <c r="F487" s="17">
        <f t="shared" si="64"/>
        <v>9</v>
      </c>
      <c r="G487" s="236">
        <f t="shared" si="67"/>
        <v>2.4666666666666669E-3</v>
      </c>
      <c r="H487" s="8">
        <f t="shared" si="65"/>
        <v>222.35</v>
      </c>
      <c r="I487" s="8">
        <f t="shared" si="68"/>
        <v>296.47000000000003</v>
      </c>
    </row>
    <row r="488" spans="1:9" x14ac:dyDescent="0.2">
      <c r="A488" s="206">
        <v>38200</v>
      </c>
      <c r="B488" s="204" t="s">
        <v>486</v>
      </c>
      <c r="C488" s="6" t="s">
        <v>397</v>
      </c>
      <c r="D488" s="202">
        <v>41297</v>
      </c>
      <c r="E488" s="8">
        <v>6520.6300000000019</v>
      </c>
      <c r="F488" s="17">
        <f t="shared" si="64"/>
        <v>9</v>
      </c>
      <c r="G488" s="236">
        <f t="shared" si="67"/>
        <v>2.4666666666666669E-3</v>
      </c>
      <c r="H488" s="8">
        <f t="shared" si="65"/>
        <v>144.76</v>
      </c>
      <c r="I488" s="8">
        <f t="shared" si="68"/>
        <v>193.01</v>
      </c>
    </row>
    <row r="489" spans="1:9" x14ac:dyDescent="0.2">
      <c r="A489" s="206">
        <v>38200</v>
      </c>
      <c r="B489" s="204" t="s">
        <v>487</v>
      </c>
      <c r="C489" s="6" t="s">
        <v>396</v>
      </c>
      <c r="D489" s="202">
        <v>41378</v>
      </c>
      <c r="E489" s="8">
        <v>21572.679999999982</v>
      </c>
      <c r="F489" s="17">
        <f t="shared" si="64"/>
        <v>6</v>
      </c>
      <c r="G489" s="236">
        <f t="shared" si="67"/>
        <v>2.4666666666666669E-3</v>
      </c>
      <c r="H489" s="8">
        <f t="shared" si="65"/>
        <v>319.27999999999997</v>
      </c>
      <c r="I489" s="8">
        <f>ROUND(E489*G489*12,2)</f>
        <v>638.54999999999995</v>
      </c>
    </row>
    <row r="490" spans="1:9" x14ac:dyDescent="0.2">
      <c r="A490" s="206">
        <v>38200</v>
      </c>
      <c r="B490" s="204" t="s">
        <v>488</v>
      </c>
      <c r="C490" s="6" t="s">
        <v>397</v>
      </c>
      <c r="D490" s="202">
        <v>41382</v>
      </c>
      <c r="E490" s="8">
        <v>7218.39</v>
      </c>
      <c r="F490" s="17">
        <f t="shared" si="64"/>
        <v>6</v>
      </c>
      <c r="G490" s="236">
        <f t="shared" si="67"/>
        <v>2.4666666666666669E-3</v>
      </c>
      <c r="H490" s="8">
        <f t="shared" si="65"/>
        <v>106.83</v>
      </c>
      <c r="I490" s="8">
        <f>ROUND(E490*G490*12,2)</f>
        <v>213.66</v>
      </c>
    </row>
    <row r="491" spans="1:9" x14ac:dyDescent="0.2">
      <c r="A491" s="206">
        <v>38200</v>
      </c>
      <c r="B491" s="204" t="s">
        <v>489</v>
      </c>
      <c r="C491" s="6" t="s">
        <v>396</v>
      </c>
      <c r="D491" s="202">
        <v>41428</v>
      </c>
      <c r="E491" s="8">
        <v>14208.060000000014</v>
      </c>
      <c r="F491" s="17">
        <f t="shared" si="64"/>
        <v>4</v>
      </c>
      <c r="G491" s="236">
        <f t="shared" si="67"/>
        <v>2.4666666666666669E-3</v>
      </c>
      <c r="H491" s="8">
        <f t="shared" si="65"/>
        <v>140.19</v>
      </c>
      <c r="I491" s="8">
        <f>ROUND(E491*G491*12,2)</f>
        <v>420.56</v>
      </c>
    </row>
    <row r="492" spans="1:9" x14ac:dyDescent="0.2">
      <c r="A492" s="206">
        <v>38200</v>
      </c>
      <c r="B492" s="204" t="s">
        <v>490</v>
      </c>
      <c r="C492" s="6" t="s">
        <v>397</v>
      </c>
      <c r="D492" s="202">
        <v>41428</v>
      </c>
      <c r="E492" s="8">
        <v>24015.08</v>
      </c>
      <c r="F492" s="17">
        <f>IF((YEAR($F$1)-YEAR($D492))*12+MONTH($F$1)-MONTH($D492)&gt;12,12,(YEAR($F$1)-YEAR($D492))*12+MONTH($F$1)-MONTH($D492))</f>
        <v>4</v>
      </c>
      <c r="G492" s="236">
        <f t="shared" si="67"/>
        <v>2.4666666666666669E-3</v>
      </c>
      <c r="H492" s="8">
        <f t="shared" si="65"/>
        <v>236.95</v>
      </c>
      <c r="I492" s="8">
        <f>ROUND(E492*G492*12,2)</f>
        <v>710.85</v>
      </c>
    </row>
    <row r="493" spans="1:9" x14ac:dyDescent="0.2">
      <c r="A493" s="203" t="s">
        <v>601</v>
      </c>
      <c r="B493" s="204" t="s">
        <v>230</v>
      </c>
      <c r="C493" s="6" t="s">
        <v>296</v>
      </c>
      <c r="D493" s="202">
        <v>41122</v>
      </c>
      <c r="E493" s="243">
        <v>3014.1</v>
      </c>
      <c r="F493" s="17">
        <f t="shared" ref="F493:F556" si="69">IF((YEAR($F$1)-YEAR($D493))*12+MONTH($F$1)-MONTH($D493)&gt;12,12,(YEAR($F$1)-YEAR($D493))*12+MONTH($F$1)-MONTH($D493))</f>
        <v>12</v>
      </c>
      <c r="G493" s="236">
        <f t="shared" ref="G493:G509" si="70">0.0216/12</f>
        <v>1.8000000000000002E-3</v>
      </c>
      <c r="H493" s="8">
        <f t="shared" ref="H493:H536" si="71">ROUND(E493*F493*G493,2)</f>
        <v>65.099999999999994</v>
      </c>
      <c r="I493" s="8">
        <f t="shared" ref="I493:I536" si="72">ROUND(E493*G493*12,2)</f>
        <v>65.099999999999994</v>
      </c>
    </row>
    <row r="494" spans="1:9" x14ac:dyDescent="0.2">
      <c r="A494" s="203" t="s">
        <v>601</v>
      </c>
      <c r="B494" s="204" t="s">
        <v>230</v>
      </c>
      <c r="C494" s="6" t="s">
        <v>296</v>
      </c>
      <c r="D494" s="202">
        <v>41153</v>
      </c>
      <c r="E494" s="243">
        <v>3575.37</v>
      </c>
      <c r="F494" s="17">
        <f t="shared" si="69"/>
        <v>12</v>
      </c>
      <c r="G494" s="236">
        <f t="shared" si="70"/>
        <v>1.8000000000000002E-3</v>
      </c>
      <c r="H494" s="8">
        <f t="shared" si="71"/>
        <v>77.23</v>
      </c>
      <c r="I494" s="8">
        <f t="shared" si="72"/>
        <v>77.23</v>
      </c>
    </row>
    <row r="495" spans="1:9" x14ac:dyDescent="0.2">
      <c r="A495" s="203" t="s">
        <v>601</v>
      </c>
      <c r="B495" s="204" t="s">
        <v>230</v>
      </c>
      <c r="C495" s="6" t="s">
        <v>296</v>
      </c>
      <c r="D495" s="202">
        <v>41183</v>
      </c>
      <c r="E495" s="243">
        <v>4935.24</v>
      </c>
      <c r="F495" s="17">
        <f t="shared" si="69"/>
        <v>12</v>
      </c>
      <c r="G495" s="236">
        <f t="shared" si="70"/>
        <v>1.8000000000000002E-3</v>
      </c>
      <c r="H495" s="8">
        <f t="shared" si="71"/>
        <v>106.6</v>
      </c>
      <c r="I495" s="8">
        <f t="shared" si="72"/>
        <v>106.6</v>
      </c>
    </row>
    <row r="496" spans="1:9" x14ac:dyDescent="0.2">
      <c r="A496" s="203" t="s">
        <v>601</v>
      </c>
      <c r="B496" s="204" t="s">
        <v>231</v>
      </c>
      <c r="C496" s="6" t="s">
        <v>298</v>
      </c>
      <c r="D496" s="202">
        <v>41122</v>
      </c>
      <c r="E496" s="243">
        <v>435.97</v>
      </c>
      <c r="F496" s="17">
        <f t="shared" si="69"/>
        <v>12</v>
      </c>
      <c r="G496" s="236">
        <f t="shared" si="70"/>
        <v>1.8000000000000002E-3</v>
      </c>
      <c r="H496" s="8">
        <f t="shared" si="71"/>
        <v>9.42</v>
      </c>
      <c r="I496" s="8">
        <f t="shared" si="72"/>
        <v>9.42</v>
      </c>
    </row>
    <row r="497" spans="1:9" x14ac:dyDescent="0.2">
      <c r="A497" s="203" t="s">
        <v>601</v>
      </c>
      <c r="B497" s="204" t="s">
        <v>231</v>
      </c>
      <c r="C497" s="6" t="s">
        <v>298</v>
      </c>
      <c r="D497" s="202">
        <v>41153</v>
      </c>
      <c r="E497" s="243">
        <v>14340.050000000001</v>
      </c>
      <c r="F497" s="17">
        <f t="shared" si="69"/>
        <v>12</v>
      </c>
      <c r="G497" s="236">
        <f t="shared" si="70"/>
        <v>1.8000000000000002E-3</v>
      </c>
      <c r="H497" s="8">
        <f t="shared" si="71"/>
        <v>309.75</v>
      </c>
      <c r="I497" s="8">
        <f t="shared" si="72"/>
        <v>309.75</v>
      </c>
    </row>
    <row r="498" spans="1:9" x14ac:dyDescent="0.2">
      <c r="A498" s="203" t="s">
        <v>601</v>
      </c>
      <c r="B498" s="204" t="s">
        <v>231</v>
      </c>
      <c r="C498" s="6" t="s">
        <v>298</v>
      </c>
      <c r="D498" s="202">
        <v>41183</v>
      </c>
      <c r="E498" s="243">
        <v>13316.460000000001</v>
      </c>
      <c r="F498" s="17">
        <f t="shared" si="69"/>
        <v>12</v>
      </c>
      <c r="G498" s="236">
        <f t="shared" si="70"/>
        <v>1.8000000000000002E-3</v>
      </c>
      <c r="H498" s="8">
        <f t="shared" si="71"/>
        <v>287.64</v>
      </c>
      <c r="I498" s="8">
        <f t="shared" si="72"/>
        <v>287.64</v>
      </c>
    </row>
    <row r="499" spans="1:9" x14ac:dyDescent="0.2">
      <c r="A499" s="203" t="s">
        <v>601</v>
      </c>
      <c r="B499" s="204" t="s">
        <v>232</v>
      </c>
      <c r="C499" s="6" t="s">
        <v>329</v>
      </c>
      <c r="D499" s="202">
        <v>41122</v>
      </c>
      <c r="E499" s="243">
        <v>448.27</v>
      </c>
      <c r="F499" s="17">
        <f t="shared" si="69"/>
        <v>12</v>
      </c>
      <c r="G499" s="236">
        <f t="shared" si="70"/>
        <v>1.8000000000000002E-3</v>
      </c>
      <c r="H499" s="8">
        <f t="shared" si="71"/>
        <v>9.68</v>
      </c>
      <c r="I499" s="8">
        <f t="shared" si="72"/>
        <v>9.68</v>
      </c>
    </row>
    <row r="500" spans="1:9" x14ac:dyDescent="0.2">
      <c r="A500" s="203" t="s">
        <v>601</v>
      </c>
      <c r="B500" s="204" t="s">
        <v>232</v>
      </c>
      <c r="C500" s="6" t="s">
        <v>329</v>
      </c>
      <c r="D500" s="202">
        <v>41153</v>
      </c>
      <c r="E500" s="243">
        <v>1952.42</v>
      </c>
      <c r="F500" s="17">
        <f t="shared" si="69"/>
        <v>12</v>
      </c>
      <c r="G500" s="236">
        <f t="shared" si="70"/>
        <v>1.8000000000000002E-3</v>
      </c>
      <c r="H500" s="8">
        <f t="shared" si="71"/>
        <v>42.17</v>
      </c>
      <c r="I500" s="8">
        <f t="shared" si="72"/>
        <v>42.17</v>
      </c>
    </row>
    <row r="501" spans="1:9" x14ac:dyDescent="0.2">
      <c r="A501" s="203" t="s">
        <v>601</v>
      </c>
      <c r="B501" s="204" t="s">
        <v>232</v>
      </c>
      <c r="C501" s="6" t="s">
        <v>329</v>
      </c>
      <c r="D501" s="202">
        <v>41183</v>
      </c>
      <c r="E501" s="243">
        <v>1337.33</v>
      </c>
      <c r="F501" s="17">
        <f t="shared" si="69"/>
        <v>12</v>
      </c>
      <c r="G501" s="236">
        <f t="shared" si="70"/>
        <v>1.8000000000000002E-3</v>
      </c>
      <c r="H501" s="8">
        <f t="shared" si="71"/>
        <v>28.89</v>
      </c>
      <c r="I501" s="8">
        <f t="shared" si="72"/>
        <v>28.89</v>
      </c>
    </row>
    <row r="502" spans="1:9" x14ac:dyDescent="0.2">
      <c r="A502" s="203" t="s">
        <v>601</v>
      </c>
      <c r="B502" s="204" t="s">
        <v>233</v>
      </c>
      <c r="C502" s="6" t="s">
        <v>331</v>
      </c>
      <c r="D502" s="202">
        <v>41122</v>
      </c>
      <c r="E502" s="243">
        <v>-93.75</v>
      </c>
      <c r="F502" s="17">
        <f t="shared" si="69"/>
        <v>12</v>
      </c>
      <c r="G502" s="236">
        <f t="shared" si="70"/>
        <v>1.8000000000000002E-3</v>
      </c>
      <c r="H502" s="8">
        <f t="shared" si="71"/>
        <v>-2.0299999999999998</v>
      </c>
      <c r="I502" s="8">
        <f t="shared" si="72"/>
        <v>-2.0299999999999998</v>
      </c>
    </row>
    <row r="503" spans="1:9" x14ac:dyDescent="0.2">
      <c r="A503" s="203" t="s">
        <v>601</v>
      </c>
      <c r="B503" s="204" t="s">
        <v>233</v>
      </c>
      <c r="C503" s="6" t="s">
        <v>331</v>
      </c>
      <c r="D503" s="202">
        <v>41153</v>
      </c>
      <c r="E503" s="243">
        <v>967.85</v>
      </c>
      <c r="F503" s="17">
        <f t="shared" si="69"/>
        <v>12</v>
      </c>
      <c r="G503" s="236">
        <f t="shared" si="70"/>
        <v>1.8000000000000002E-3</v>
      </c>
      <c r="H503" s="8">
        <f t="shared" si="71"/>
        <v>20.91</v>
      </c>
      <c r="I503" s="8">
        <f t="shared" si="72"/>
        <v>20.91</v>
      </c>
    </row>
    <row r="504" spans="1:9" x14ac:dyDescent="0.2">
      <c r="A504" s="203" t="s">
        <v>601</v>
      </c>
      <c r="B504" s="204" t="s">
        <v>233</v>
      </c>
      <c r="C504" s="6" t="s">
        <v>331</v>
      </c>
      <c r="D504" s="202">
        <v>41183</v>
      </c>
      <c r="E504" s="8">
        <v>-1.53</v>
      </c>
      <c r="F504" s="17">
        <f t="shared" si="69"/>
        <v>12</v>
      </c>
      <c r="G504" s="236">
        <f t="shared" si="70"/>
        <v>1.8000000000000002E-3</v>
      </c>
      <c r="H504" s="8">
        <f t="shared" si="71"/>
        <v>-0.03</v>
      </c>
      <c r="I504" s="8">
        <f t="shared" si="72"/>
        <v>-0.03</v>
      </c>
    </row>
    <row r="505" spans="1:9" x14ac:dyDescent="0.2">
      <c r="A505" s="203" t="s">
        <v>601</v>
      </c>
      <c r="B505" s="204" t="s">
        <v>234</v>
      </c>
      <c r="C505" s="6" t="s">
        <v>333</v>
      </c>
      <c r="D505" s="202">
        <v>41122</v>
      </c>
      <c r="E505" s="8">
        <v>223.17000000000002</v>
      </c>
      <c r="F505" s="17">
        <f t="shared" si="69"/>
        <v>12</v>
      </c>
      <c r="G505" s="236">
        <f t="shared" si="70"/>
        <v>1.8000000000000002E-3</v>
      </c>
      <c r="H505" s="8">
        <f t="shared" si="71"/>
        <v>4.82</v>
      </c>
      <c r="I505" s="8">
        <f t="shared" si="72"/>
        <v>4.82</v>
      </c>
    </row>
    <row r="506" spans="1:9" x14ac:dyDescent="0.2">
      <c r="A506" s="203" t="s">
        <v>601</v>
      </c>
      <c r="B506" s="204" t="s">
        <v>234</v>
      </c>
      <c r="C506" s="6" t="s">
        <v>333</v>
      </c>
      <c r="D506" s="202">
        <v>41153</v>
      </c>
      <c r="E506" s="8">
        <v>1519.1000000000001</v>
      </c>
      <c r="F506" s="17">
        <f t="shared" si="69"/>
        <v>12</v>
      </c>
      <c r="G506" s="236">
        <f t="shared" si="70"/>
        <v>1.8000000000000002E-3</v>
      </c>
      <c r="H506" s="8">
        <f t="shared" si="71"/>
        <v>32.81</v>
      </c>
      <c r="I506" s="8">
        <f t="shared" si="72"/>
        <v>32.81</v>
      </c>
    </row>
    <row r="507" spans="1:9" x14ac:dyDescent="0.2">
      <c r="A507" s="203" t="s">
        <v>601</v>
      </c>
      <c r="B507" s="204" t="s">
        <v>235</v>
      </c>
      <c r="C507" s="6" t="s">
        <v>334</v>
      </c>
      <c r="D507" s="202">
        <v>41122</v>
      </c>
      <c r="E507" s="8">
        <v>4689.79</v>
      </c>
      <c r="F507" s="17">
        <f t="shared" si="69"/>
        <v>12</v>
      </c>
      <c r="G507" s="236">
        <f t="shared" si="70"/>
        <v>1.8000000000000002E-3</v>
      </c>
      <c r="H507" s="8">
        <f t="shared" si="71"/>
        <v>101.3</v>
      </c>
      <c r="I507" s="8">
        <f t="shared" si="72"/>
        <v>101.3</v>
      </c>
    </row>
    <row r="508" spans="1:9" x14ac:dyDescent="0.2">
      <c r="A508" s="203" t="s">
        <v>601</v>
      </c>
      <c r="B508" s="204" t="s">
        <v>235</v>
      </c>
      <c r="C508" s="6" t="s">
        <v>334</v>
      </c>
      <c r="D508" s="202">
        <v>41153</v>
      </c>
      <c r="E508" s="8">
        <v>12855.6</v>
      </c>
      <c r="F508" s="17">
        <f t="shared" si="69"/>
        <v>12</v>
      </c>
      <c r="G508" s="236">
        <f t="shared" si="70"/>
        <v>1.8000000000000002E-3</v>
      </c>
      <c r="H508" s="8">
        <f t="shared" si="71"/>
        <v>277.68</v>
      </c>
      <c r="I508" s="8">
        <f t="shared" si="72"/>
        <v>277.68</v>
      </c>
    </row>
    <row r="509" spans="1:9" x14ac:dyDescent="0.2">
      <c r="A509" s="203" t="s">
        <v>601</v>
      </c>
      <c r="B509" s="204" t="s">
        <v>235</v>
      </c>
      <c r="C509" s="6" t="s">
        <v>334</v>
      </c>
      <c r="D509" s="202">
        <v>41183</v>
      </c>
      <c r="E509" s="8">
        <v>11620.47</v>
      </c>
      <c r="F509" s="17">
        <f t="shared" si="69"/>
        <v>12</v>
      </c>
      <c r="G509" s="236">
        <f t="shared" si="70"/>
        <v>1.8000000000000002E-3</v>
      </c>
      <c r="H509" s="8">
        <f t="shared" si="71"/>
        <v>251</v>
      </c>
      <c r="I509" s="8">
        <f t="shared" si="72"/>
        <v>251</v>
      </c>
    </row>
    <row r="510" spans="1:9" x14ac:dyDescent="0.2">
      <c r="A510" s="203" t="s">
        <v>602</v>
      </c>
      <c r="B510" s="204" t="s">
        <v>596</v>
      </c>
      <c r="C510" s="6" t="s">
        <v>267</v>
      </c>
      <c r="D510" s="202">
        <v>41153</v>
      </c>
      <c r="E510" s="243">
        <v>591.84</v>
      </c>
      <c r="F510" s="17">
        <f t="shared" si="69"/>
        <v>12</v>
      </c>
      <c r="G510" s="236">
        <f t="shared" si="67"/>
        <v>2.4666666666666669E-3</v>
      </c>
      <c r="H510" s="8">
        <f t="shared" si="71"/>
        <v>17.52</v>
      </c>
      <c r="I510" s="8">
        <f t="shared" si="72"/>
        <v>17.52</v>
      </c>
    </row>
    <row r="511" spans="1:9" x14ac:dyDescent="0.2">
      <c r="A511" s="203" t="s">
        <v>602</v>
      </c>
      <c r="B511" s="204" t="s">
        <v>230</v>
      </c>
      <c r="C511" s="6" t="s">
        <v>296</v>
      </c>
      <c r="D511" s="202">
        <v>41122</v>
      </c>
      <c r="E511" s="243">
        <v>3340.81</v>
      </c>
      <c r="F511" s="17">
        <f t="shared" si="69"/>
        <v>12</v>
      </c>
      <c r="G511" s="236">
        <f t="shared" si="67"/>
        <v>2.4666666666666669E-3</v>
      </c>
      <c r="H511" s="8">
        <f t="shared" si="71"/>
        <v>98.89</v>
      </c>
      <c r="I511" s="8">
        <f t="shared" si="72"/>
        <v>98.89</v>
      </c>
    </row>
    <row r="512" spans="1:9" x14ac:dyDescent="0.2">
      <c r="A512" s="203" t="s">
        <v>602</v>
      </c>
      <c r="B512" s="204" t="s">
        <v>230</v>
      </c>
      <c r="C512" s="6" t="s">
        <v>296</v>
      </c>
      <c r="D512" s="202">
        <v>41153</v>
      </c>
      <c r="E512" s="243">
        <v>2861.35</v>
      </c>
      <c r="F512" s="17">
        <f t="shared" si="69"/>
        <v>12</v>
      </c>
      <c r="G512" s="236">
        <f t="shared" si="67"/>
        <v>2.4666666666666669E-3</v>
      </c>
      <c r="H512" s="8">
        <f t="shared" si="71"/>
        <v>84.7</v>
      </c>
      <c r="I512" s="8">
        <f t="shared" si="72"/>
        <v>84.7</v>
      </c>
    </row>
    <row r="513" spans="1:9" x14ac:dyDescent="0.2">
      <c r="A513" s="203" t="s">
        <v>602</v>
      </c>
      <c r="B513" s="204" t="s">
        <v>230</v>
      </c>
      <c r="C513" s="6" t="s">
        <v>296</v>
      </c>
      <c r="D513" s="202">
        <v>41183</v>
      </c>
      <c r="E513" s="243">
        <v>4393.91</v>
      </c>
      <c r="F513" s="17">
        <f t="shared" si="69"/>
        <v>12</v>
      </c>
      <c r="G513" s="236">
        <f t="shared" si="67"/>
        <v>2.4666666666666669E-3</v>
      </c>
      <c r="H513" s="8">
        <f t="shared" si="71"/>
        <v>130.06</v>
      </c>
      <c r="I513" s="8">
        <f t="shared" si="72"/>
        <v>130.06</v>
      </c>
    </row>
    <row r="514" spans="1:9" x14ac:dyDescent="0.2">
      <c r="A514" s="203" t="s">
        <v>602</v>
      </c>
      <c r="B514" s="204" t="s">
        <v>236</v>
      </c>
      <c r="C514" s="6" t="s">
        <v>300</v>
      </c>
      <c r="D514" s="202">
        <v>41122</v>
      </c>
      <c r="E514" s="243">
        <v>5309.41</v>
      </c>
      <c r="F514" s="17">
        <f t="shared" si="69"/>
        <v>12</v>
      </c>
      <c r="G514" s="236">
        <f t="shared" si="67"/>
        <v>2.4666666666666669E-3</v>
      </c>
      <c r="H514" s="8">
        <f t="shared" si="71"/>
        <v>157.16</v>
      </c>
      <c r="I514" s="8">
        <f t="shared" si="72"/>
        <v>157.16</v>
      </c>
    </row>
    <row r="515" spans="1:9" x14ac:dyDescent="0.2">
      <c r="A515" s="203" t="s">
        <v>602</v>
      </c>
      <c r="B515" s="204" t="s">
        <v>236</v>
      </c>
      <c r="C515" s="6" t="s">
        <v>300</v>
      </c>
      <c r="D515" s="202">
        <v>41153</v>
      </c>
      <c r="E515" s="243">
        <v>11139.43</v>
      </c>
      <c r="F515" s="17">
        <f t="shared" si="69"/>
        <v>12</v>
      </c>
      <c r="G515" s="236">
        <f t="shared" si="67"/>
        <v>2.4666666666666669E-3</v>
      </c>
      <c r="H515" s="8">
        <f t="shared" si="71"/>
        <v>329.73</v>
      </c>
      <c r="I515" s="8">
        <f t="shared" si="72"/>
        <v>329.73</v>
      </c>
    </row>
    <row r="516" spans="1:9" x14ac:dyDescent="0.2">
      <c r="A516" s="203" t="s">
        <v>602</v>
      </c>
      <c r="B516" s="204" t="s">
        <v>236</v>
      </c>
      <c r="C516" s="6" t="s">
        <v>300</v>
      </c>
      <c r="D516" s="202">
        <v>41183</v>
      </c>
      <c r="E516" s="243">
        <v>22774.7</v>
      </c>
      <c r="F516" s="17">
        <f t="shared" si="69"/>
        <v>12</v>
      </c>
      <c r="G516" s="236">
        <f t="shared" si="67"/>
        <v>2.4666666666666669E-3</v>
      </c>
      <c r="H516" s="8">
        <f t="shared" si="71"/>
        <v>674.13</v>
      </c>
      <c r="I516" s="8">
        <f t="shared" si="72"/>
        <v>674.13</v>
      </c>
    </row>
    <row r="517" spans="1:9" x14ac:dyDescent="0.2">
      <c r="A517" s="203" t="s">
        <v>602</v>
      </c>
      <c r="B517" s="204" t="s">
        <v>237</v>
      </c>
      <c r="C517" s="6" t="s">
        <v>301</v>
      </c>
      <c r="D517" s="202">
        <v>41122</v>
      </c>
      <c r="E517" s="243">
        <v>5488.7</v>
      </c>
      <c r="F517" s="17">
        <f t="shared" si="69"/>
        <v>12</v>
      </c>
      <c r="G517" s="236">
        <f t="shared" si="67"/>
        <v>2.4666666666666669E-3</v>
      </c>
      <c r="H517" s="8">
        <f t="shared" si="71"/>
        <v>162.47</v>
      </c>
      <c r="I517" s="8">
        <f t="shared" si="72"/>
        <v>162.47</v>
      </c>
    </row>
    <row r="518" spans="1:9" x14ac:dyDescent="0.2">
      <c r="A518" s="203" t="s">
        <v>602</v>
      </c>
      <c r="B518" s="204" t="s">
        <v>237</v>
      </c>
      <c r="C518" s="6" t="s">
        <v>301</v>
      </c>
      <c r="D518" s="202">
        <v>41153</v>
      </c>
      <c r="E518" s="243">
        <v>35120.910000000003</v>
      </c>
      <c r="F518" s="17">
        <f t="shared" si="69"/>
        <v>12</v>
      </c>
      <c r="G518" s="236">
        <f t="shared" si="67"/>
        <v>2.4666666666666669E-3</v>
      </c>
      <c r="H518" s="8">
        <f t="shared" si="71"/>
        <v>1039.58</v>
      </c>
      <c r="I518" s="8">
        <f t="shared" si="72"/>
        <v>1039.58</v>
      </c>
    </row>
    <row r="519" spans="1:9" x14ac:dyDescent="0.2">
      <c r="A519" s="203" t="s">
        <v>602</v>
      </c>
      <c r="B519" s="204" t="s">
        <v>237</v>
      </c>
      <c r="C519" s="6" t="s">
        <v>301</v>
      </c>
      <c r="D519" s="202">
        <v>41183</v>
      </c>
      <c r="E519" s="243">
        <v>11849.31</v>
      </c>
      <c r="F519" s="17">
        <f t="shared" si="69"/>
        <v>12</v>
      </c>
      <c r="G519" s="236">
        <f t="shared" si="67"/>
        <v>2.4666666666666669E-3</v>
      </c>
      <c r="H519" s="8">
        <f t="shared" si="71"/>
        <v>350.74</v>
      </c>
      <c r="I519" s="8">
        <f t="shared" si="72"/>
        <v>350.74</v>
      </c>
    </row>
    <row r="520" spans="1:9" x14ac:dyDescent="0.2">
      <c r="A520" s="203" t="s">
        <v>602</v>
      </c>
      <c r="B520" s="204" t="s">
        <v>232</v>
      </c>
      <c r="C520" s="6" t="s">
        <v>329</v>
      </c>
      <c r="D520" s="202">
        <v>41122</v>
      </c>
      <c r="E520" s="243">
        <v>1500.68</v>
      </c>
      <c r="F520" s="17">
        <f t="shared" si="69"/>
        <v>12</v>
      </c>
      <c r="G520" s="236">
        <f t="shared" si="67"/>
        <v>2.4666666666666669E-3</v>
      </c>
      <c r="H520" s="8">
        <f t="shared" si="71"/>
        <v>44.42</v>
      </c>
      <c r="I520" s="8">
        <f t="shared" si="72"/>
        <v>44.42</v>
      </c>
    </row>
    <row r="521" spans="1:9" x14ac:dyDescent="0.2">
      <c r="A521" s="203" t="s">
        <v>602</v>
      </c>
      <c r="B521" s="204" t="s">
        <v>232</v>
      </c>
      <c r="C521" s="6" t="s">
        <v>329</v>
      </c>
      <c r="D521" s="202">
        <v>41153</v>
      </c>
      <c r="E521" s="243">
        <v>6536.38</v>
      </c>
      <c r="F521" s="17">
        <f t="shared" si="69"/>
        <v>12</v>
      </c>
      <c r="G521" s="236">
        <f t="shared" si="67"/>
        <v>2.4666666666666669E-3</v>
      </c>
      <c r="H521" s="8">
        <f t="shared" si="71"/>
        <v>193.48</v>
      </c>
      <c r="I521" s="8">
        <f t="shared" si="72"/>
        <v>193.48</v>
      </c>
    </row>
    <row r="522" spans="1:9" x14ac:dyDescent="0.2">
      <c r="A522" s="203" t="s">
        <v>602</v>
      </c>
      <c r="B522" s="204" t="s">
        <v>232</v>
      </c>
      <c r="C522" s="6" t="s">
        <v>329</v>
      </c>
      <c r="D522" s="202">
        <v>41183</v>
      </c>
      <c r="E522" s="8">
        <v>4477.1400000000003</v>
      </c>
      <c r="F522" s="17">
        <f t="shared" si="69"/>
        <v>12</v>
      </c>
      <c r="G522" s="236">
        <f t="shared" si="67"/>
        <v>2.4666666666666669E-3</v>
      </c>
      <c r="H522" s="8">
        <f t="shared" si="71"/>
        <v>132.52000000000001</v>
      </c>
      <c r="I522" s="8">
        <f t="shared" si="72"/>
        <v>132.52000000000001</v>
      </c>
    </row>
    <row r="523" spans="1:9" x14ac:dyDescent="0.2">
      <c r="A523" s="203" t="s">
        <v>602</v>
      </c>
      <c r="B523" s="204" t="s">
        <v>233</v>
      </c>
      <c r="C523" s="6" t="s">
        <v>331</v>
      </c>
      <c r="D523" s="202">
        <v>41183</v>
      </c>
      <c r="E523" s="8">
        <v>-48.88</v>
      </c>
      <c r="F523" s="17">
        <f t="shared" si="69"/>
        <v>12</v>
      </c>
      <c r="G523" s="236">
        <f t="shared" si="67"/>
        <v>2.4666666666666669E-3</v>
      </c>
      <c r="H523" s="8">
        <f t="shared" si="71"/>
        <v>-1.45</v>
      </c>
      <c r="I523" s="8">
        <f t="shared" si="72"/>
        <v>-1.45</v>
      </c>
    </row>
    <row r="524" spans="1:9" x14ac:dyDescent="0.2">
      <c r="A524" s="203" t="s">
        <v>603</v>
      </c>
      <c r="B524" s="204" t="s">
        <v>241</v>
      </c>
      <c r="C524" s="6" t="s">
        <v>308</v>
      </c>
      <c r="D524" s="202">
        <v>41122</v>
      </c>
      <c r="E524" s="8">
        <v>277.34000000000003</v>
      </c>
      <c r="F524" s="17">
        <f t="shared" si="69"/>
        <v>12</v>
      </c>
      <c r="G524" s="236">
        <f t="shared" ref="G524:G528" si="73">0.0419/12</f>
        <v>3.4916666666666668E-3</v>
      </c>
      <c r="H524" s="8">
        <f t="shared" si="71"/>
        <v>11.62</v>
      </c>
      <c r="I524" s="8">
        <f t="shared" si="72"/>
        <v>11.62</v>
      </c>
    </row>
    <row r="525" spans="1:9" x14ac:dyDescent="0.2">
      <c r="A525" s="203" t="s">
        <v>603</v>
      </c>
      <c r="B525" s="204" t="s">
        <v>241</v>
      </c>
      <c r="C525" s="6" t="s">
        <v>308</v>
      </c>
      <c r="D525" s="202">
        <v>41153</v>
      </c>
      <c r="E525" s="8">
        <v>1142.29</v>
      </c>
      <c r="F525" s="17">
        <f t="shared" si="69"/>
        <v>12</v>
      </c>
      <c r="G525" s="236">
        <f t="shared" si="73"/>
        <v>3.4916666666666668E-3</v>
      </c>
      <c r="H525" s="8">
        <f t="shared" si="71"/>
        <v>47.86</v>
      </c>
      <c r="I525" s="8">
        <f t="shared" si="72"/>
        <v>47.86</v>
      </c>
    </row>
    <row r="526" spans="1:9" x14ac:dyDescent="0.2">
      <c r="A526" s="203" t="s">
        <v>603</v>
      </c>
      <c r="B526" s="204" t="s">
        <v>241</v>
      </c>
      <c r="C526" s="6" t="s">
        <v>308</v>
      </c>
      <c r="D526" s="202">
        <v>41183</v>
      </c>
      <c r="E526" s="8">
        <v>611.98</v>
      </c>
      <c r="F526" s="17">
        <f t="shared" si="69"/>
        <v>12</v>
      </c>
      <c r="G526" s="236">
        <f t="shared" si="73"/>
        <v>3.4916666666666668E-3</v>
      </c>
      <c r="H526" s="8">
        <f t="shared" si="71"/>
        <v>25.64</v>
      </c>
      <c r="I526" s="8">
        <f t="shared" si="72"/>
        <v>25.64</v>
      </c>
    </row>
    <row r="527" spans="1:9" x14ac:dyDescent="0.2">
      <c r="A527" s="203" t="s">
        <v>603</v>
      </c>
      <c r="B527" s="204" t="s">
        <v>234</v>
      </c>
      <c r="C527" s="6" t="s">
        <v>333</v>
      </c>
      <c r="D527" s="202">
        <v>41122</v>
      </c>
      <c r="E527" s="243">
        <v>24.79</v>
      </c>
      <c r="F527" s="17">
        <f t="shared" si="69"/>
        <v>12</v>
      </c>
      <c r="G527" s="236">
        <f t="shared" si="73"/>
        <v>3.4916666666666668E-3</v>
      </c>
      <c r="H527" s="8">
        <f t="shared" si="71"/>
        <v>1.04</v>
      </c>
      <c r="I527" s="8">
        <f t="shared" si="72"/>
        <v>1.04</v>
      </c>
    </row>
    <row r="528" spans="1:9" x14ac:dyDescent="0.2">
      <c r="A528" s="203" t="s">
        <v>603</v>
      </c>
      <c r="B528" s="204" t="s">
        <v>234</v>
      </c>
      <c r="C528" s="6" t="s">
        <v>333</v>
      </c>
      <c r="D528" s="202">
        <v>41153</v>
      </c>
      <c r="E528" s="243">
        <v>168.79</v>
      </c>
      <c r="F528" s="17">
        <f t="shared" si="69"/>
        <v>12</v>
      </c>
      <c r="G528" s="236">
        <f t="shared" si="73"/>
        <v>3.4916666666666668E-3</v>
      </c>
      <c r="H528" s="8">
        <f t="shared" si="71"/>
        <v>7.07</v>
      </c>
      <c r="I528" s="8">
        <f t="shared" si="72"/>
        <v>7.07</v>
      </c>
    </row>
    <row r="529" spans="1:9" x14ac:dyDescent="0.2">
      <c r="A529" s="203" t="s">
        <v>601</v>
      </c>
      <c r="B529" s="204" t="s">
        <v>230</v>
      </c>
      <c r="C529" s="6" t="s">
        <v>296</v>
      </c>
      <c r="D529" s="202">
        <v>41061</v>
      </c>
      <c r="E529" s="243">
        <v>5899.74</v>
      </c>
      <c r="F529" s="17">
        <f t="shared" si="69"/>
        <v>12</v>
      </c>
      <c r="G529" s="236">
        <f t="shared" ref="G529:G540" si="74">0.0216/12</f>
        <v>1.8000000000000002E-3</v>
      </c>
      <c r="H529" s="8">
        <f t="shared" si="71"/>
        <v>127.43</v>
      </c>
      <c r="I529" s="8">
        <f t="shared" si="72"/>
        <v>127.43</v>
      </c>
    </row>
    <row r="530" spans="1:9" x14ac:dyDescent="0.2">
      <c r="A530" s="203" t="s">
        <v>601</v>
      </c>
      <c r="B530" s="204" t="s">
        <v>230</v>
      </c>
      <c r="C530" s="6" t="s">
        <v>296</v>
      </c>
      <c r="D530" s="202">
        <v>41091</v>
      </c>
      <c r="E530" s="8">
        <v>6386.28</v>
      </c>
      <c r="F530" s="17">
        <f t="shared" si="69"/>
        <v>12</v>
      </c>
      <c r="G530" s="236">
        <f t="shared" si="74"/>
        <v>1.8000000000000002E-3</v>
      </c>
      <c r="H530" s="8">
        <f t="shared" si="71"/>
        <v>137.94</v>
      </c>
      <c r="I530" s="8">
        <f t="shared" si="72"/>
        <v>137.94</v>
      </c>
    </row>
    <row r="531" spans="1:9" x14ac:dyDescent="0.2">
      <c r="A531" s="203" t="s">
        <v>601</v>
      </c>
      <c r="B531" s="204" t="s">
        <v>231</v>
      </c>
      <c r="C531" s="6" t="s">
        <v>298</v>
      </c>
      <c r="D531" s="202">
        <v>41061</v>
      </c>
      <c r="E531" s="8">
        <v>12795.75</v>
      </c>
      <c r="F531" s="17">
        <f t="shared" si="69"/>
        <v>12</v>
      </c>
      <c r="G531" s="236">
        <f t="shared" si="74"/>
        <v>1.8000000000000002E-3</v>
      </c>
      <c r="H531" s="8">
        <f t="shared" si="71"/>
        <v>276.39</v>
      </c>
      <c r="I531" s="8">
        <f t="shared" si="72"/>
        <v>276.39</v>
      </c>
    </row>
    <row r="532" spans="1:9" x14ac:dyDescent="0.2">
      <c r="A532" s="203" t="s">
        <v>601</v>
      </c>
      <c r="B532" s="204" t="s">
        <v>231</v>
      </c>
      <c r="C532" s="6" t="s">
        <v>298</v>
      </c>
      <c r="D532" s="202">
        <v>41091</v>
      </c>
      <c r="E532" s="243">
        <v>15003.42</v>
      </c>
      <c r="F532" s="17">
        <f t="shared" si="69"/>
        <v>12</v>
      </c>
      <c r="G532" s="236">
        <f t="shared" si="74"/>
        <v>1.8000000000000002E-3</v>
      </c>
      <c r="H532" s="8">
        <f t="shared" si="71"/>
        <v>324.07</v>
      </c>
      <c r="I532" s="8">
        <f t="shared" si="72"/>
        <v>324.07</v>
      </c>
    </row>
    <row r="533" spans="1:9" x14ac:dyDescent="0.2">
      <c r="A533" s="203" t="s">
        <v>601</v>
      </c>
      <c r="B533" s="204" t="s">
        <v>232</v>
      </c>
      <c r="C533" s="6" t="s">
        <v>329</v>
      </c>
      <c r="D533" s="202">
        <v>41061</v>
      </c>
      <c r="E533" s="243">
        <v>704.73</v>
      </c>
      <c r="F533" s="17">
        <f t="shared" si="69"/>
        <v>12</v>
      </c>
      <c r="G533" s="236">
        <f t="shared" si="74"/>
        <v>1.8000000000000002E-3</v>
      </c>
      <c r="H533" s="8">
        <f t="shared" si="71"/>
        <v>15.22</v>
      </c>
      <c r="I533" s="8">
        <f t="shared" si="72"/>
        <v>15.22</v>
      </c>
    </row>
    <row r="534" spans="1:9" x14ac:dyDescent="0.2">
      <c r="A534" s="203" t="s">
        <v>601</v>
      </c>
      <c r="B534" s="204" t="s">
        <v>232</v>
      </c>
      <c r="C534" s="6" t="s">
        <v>329</v>
      </c>
      <c r="D534" s="202">
        <v>41091</v>
      </c>
      <c r="E534" s="243">
        <v>346.23</v>
      </c>
      <c r="F534" s="17">
        <f t="shared" si="69"/>
        <v>12</v>
      </c>
      <c r="G534" s="236">
        <f t="shared" si="74"/>
        <v>1.8000000000000002E-3</v>
      </c>
      <c r="H534" s="8">
        <f t="shared" si="71"/>
        <v>7.48</v>
      </c>
      <c r="I534" s="8">
        <f t="shared" si="72"/>
        <v>7.48</v>
      </c>
    </row>
    <row r="535" spans="1:9" x14ac:dyDescent="0.2">
      <c r="A535" s="203" t="s">
        <v>601</v>
      </c>
      <c r="B535" s="204" t="s">
        <v>233</v>
      </c>
      <c r="C535" s="6" t="s">
        <v>331</v>
      </c>
      <c r="D535" s="202">
        <v>41061</v>
      </c>
      <c r="E535" s="8">
        <v>24.4</v>
      </c>
      <c r="F535" s="17">
        <f t="shared" si="69"/>
        <v>12</v>
      </c>
      <c r="G535" s="236">
        <f t="shared" si="74"/>
        <v>1.8000000000000002E-3</v>
      </c>
      <c r="H535" s="8">
        <f t="shared" si="71"/>
        <v>0.53</v>
      </c>
      <c r="I535" s="8">
        <f t="shared" si="72"/>
        <v>0.53</v>
      </c>
    </row>
    <row r="536" spans="1:9" x14ac:dyDescent="0.2">
      <c r="A536" s="203" t="s">
        <v>601</v>
      </c>
      <c r="B536" s="204" t="s">
        <v>233</v>
      </c>
      <c r="C536" s="6" t="s">
        <v>331</v>
      </c>
      <c r="D536" s="202">
        <v>41091</v>
      </c>
      <c r="E536" s="8">
        <v>1757.22</v>
      </c>
      <c r="F536" s="17">
        <f t="shared" si="69"/>
        <v>12</v>
      </c>
      <c r="G536" s="236">
        <f t="shared" si="74"/>
        <v>1.8000000000000002E-3</v>
      </c>
      <c r="H536" s="8">
        <f t="shared" si="71"/>
        <v>37.96</v>
      </c>
      <c r="I536" s="8">
        <f t="shared" si="72"/>
        <v>37.96</v>
      </c>
    </row>
    <row r="537" spans="1:9" x14ac:dyDescent="0.2">
      <c r="A537" s="203" t="s">
        <v>601</v>
      </c>
      <c r="B537" s="6" t="s">
        <v>234</v>
      </c>
      <c r="C537" s="6" t="s">
        <v>333</v>
      </c>
      <c r="D537" s="202">
        <v>41061</v>
      </c>
      <c r="E537" s="8">
        <v>1679.6399999999999</v>
      </c>
      <c r="F537" s="17">
        <f t="shared" si="69"/>
        <v>12</v>
      </c>
      <c r="G537" s="236">
        <f t="shared" si="74"/>
        <v>1.8000000000000002E-3</v>
      </c>
      <c r="H537" s="8">
        <f t="shared" ref="H537:H560" si="75">ROUND(E537*F537*G537,2)</f>
        <v>36.28</v>
      </c>
      <c r="I537" s="8">
        <f t="shared" ref="I537:I560" si="76">ROUND(E537*G537*12,2)</f>
        <v>36.28</v>
      </c>
    </row>
    <row r="538" spans="1:9" x14ac:dyDescent="0.2">
      <c r="A538" s="203" t="s">
        <v>601</v>
      </c>
      <c r="B538" s="6" t="s">
        <v>234</v>
      </c>
      <c r="C538" s="6" t="s">
        <v>333</v>
      </c>
      <c r="D538" s="202">
        <v>41091</v>
      </c>
      <c r="E538" s="8">
        <v>313.01</v>
      </c>
      <c r="F538" s="17">
        <f t="shared" si="69"/>
        <v>12</v>
      </c>
      <c r="G538" s="236">
        <f t="shared" si="74"/>
        <v>1.8000000000000002E-3</v>
      </c>
      <c r="H538" s="8">
        <f t="shared" si="75"/>
        <v>6.76</v>
      </c>
      <c r="I538" s="8">
        <f t="shared" si="76"/>
        <v>6.76</v>
      </c>
    </row>
    <row r="539" spans="1:9" x14ac:dyDescent="0.2">
      <c r="A539" s="203" t="s">
        <v>601</v>
      </c>
      <c r="B539" s="6" t="s">
        <v>235</v>
      </c>
      <c r="C539" s="6" t="s">
        <v>334</v>
      </c>
      <c r="D539" s="202">
        <v>41061</v>
      </c>
      <c r="E539" s="8">
        <v>2459.2600000000002</v>
      </c>
      <c r="F539" s="17">
        <f t="shared" si="69"/>
        <v>12</v>
      </c>
      <c r="G539" s="236">
        <f t="shared" si="74"/>
        <v>1.8000000000000002E-3</v>
      </c>
      <c r="H539" s="8">
        <f t="shared" si="75"/>
        <v>53.12</v>
      </c>
      <c r="I539" s="8">
        <f t="shared" si="76"/>
        <v>53.12</v>
      </c>
    </row>
    <row r="540" spans="1:9" x14ac:dyDescent="0.2">
      <c r="A540" s="203" t="s">
        <v>601</v>
      </c>
      <c r="B540" s="6" t="s">
        <v>235</v>
      </c>
      <c r="C540" s="6" t="s">
        <v>334</v>
      </c>
      <c r="D540" s="202">
        <v>41091</v>
      </c>
      <c r="E540" s="8">
        <v>1492.73</v>
      </c>
      <c r="F540" s="17">
        <f t="shared" si="69"/>
        <v>12</v>
      </c>
      <c r="G540" s="236">
        <f t="shared" si="74"/>
        <v>1.8000000000000002E-3</v>
      </c>
      <c r="H540" s="8">
        <f t="shared" si="75"/>
        <v>32.24</v>
      </c>
      <c r="I540" s="8">
        <f t="shared" si="76"/>
        <v>32.24</v>
      </c>
    </row>
    <row r="541" spans="1:9" x14ac:dyDescent="0.2">
      <c r="A541" s="203" t="s">
        <v>602</v>
      </c>
      <c r="B541" s="6" t="s">
        <v>230</v>
      </c>
      <c r="C541" s="6" t="s">
        <v>296</v>
      </c>
      <c r="D541" s="202">
        <v>41061</v>
      </c>
      <c r="E541" s="8">
        <v>5977.83</v>
      </c>
      <c r="F541" s="17">
        <f t="shared" si="69"/>
        <v>12</v>
      </c>
      <c r="G541" s="236">
        <f t="shared" ref="G541:G549" si="77">0.0296/12</f>
        <v>2.4666666666666669E-3</v>
      </c>
      <c r="H541" s="8">
        <f t="shared" si="75"/>
        <v>176.94</v>
      </c>
      <c r="I541" s="8">
        <f t="shared" si="76"/>
        <v>176.94</v>
      </c>
    </row>
    <row r="542" spans="1:9" x14ac:dyDescent="0.2">
      <c r="A542" s="203" t="s">
        <v>602</v>
      </c>
      <c r="B542" s="6" t="s">
        <v>230</v>
      </c>
      <c r="C542" s="6" t="s">
        <v>296</v>
      </c>
      <c r="D542" s="202">
        <v>41091</v>
      </c>
      <c r="E542" s="8">
        <v>5105.24</v>
      </c>
      <c r="F542" s="17">
        <f t="shared" si="69"/>
        <v>12</v>
      </c>
      <c r="G542" s="236">
        <f t="shared" si="77"/>
        <v>2.4666666666666669E-3</v>
      </c>
      <c r="H542" s="8">
        <f t="shared" si="75"/>
        <v>151.12</v>
      </c>
      <c r="I542" s="8">
        <f t="shared" si="76"/>
        <v>151.12</v>
      </c>
    </row>
    <row r="543" spans="1:9" x14ac:dyDescent="0.2">
      <c r="A543" s="203" t="s">
        <v>602</v>
      </c>
      <c r="B543" s="6" t="s">
        <v>236</v>
      </c>
      <c r="C543" s="6" t="s">
        <v>300</v>
      </c>
      <c r="D543" s="202">
        <v>41061</v>
      </c>
      <c r="E543" s="8">
        <v>12142.8</v>
      </c>
      <c r="F543" s="17">
        <f t="shared" si="69"/>
        <v>12</v>
      </c>
      <c r="G543" s="236">
        <f t="shared" si="77"/>
        <v>2.4666666666666669E-3</v>
      </c>
      <c r="H543" s="8">
        <f t="shared" si="75"/>
        <v>359.43</v>
      </c>
      <c r="I543" s="8">
        <f t="shared" si="76"/>
        <v>359.43</v>
      </c>
    </row>
    <row r="544" spans="1:9" x14ac:dyDescent="0.2">
      <c r="A544" s="203" t="s">
        <v>602</v>
      </c>
      <c r="B544" s="6" t="s">
        <v>236</v>
      </c>
      <c r="C544" s="6" t="s">
        <v>300</v>
      </c>
      <c r="D544" s="202">
        <v>41091</v>
      </c>
      <c r="E544" s="8">
        <v>7307.82</v>
      </c>
      <c r="F544" s="17">
        <f t="shared" si="69"/>
        <v>12</v>
      </c>
      <c r="G544" s="236">
        <f t="shared" si="77"/>
        <v>2.4666666666666669E-3</v>
      </c>
      <c r="H544" s="8">
        <f t="shared" si="75"/>
        <v>216.31</v>
      </c>
      <c r="I544" s="8">
        <f t="shared" si="76"/>
        <v>216.31</v>
      </c>
    </row>
    <row r="545" spans="1:9" x14ac:dyDescent="0.2">
      <c r="A545" s="203" t="s">
        <v>602</v>
      </c>
      <c r="B545" s="6" t="s">
        <v>237</v>
      </c>
      <c r="C545" s="6" t="s">
        <v>301</v>
      </c>
      <c r="D545" s="202">
        <v>41061</v>
      </c>
      <c r="E545" s="8">
        <v>11340.26</v>
      </c>
      <c r="F545" s="17">
        <f t="shared" si="69"/>
        <v>12</v>
      </c>
      <c r="G545" s="236">
        <f t="shared" si="77"/>
        <v>2.4666666666666669E-3</v>
      </c>
      <c r="H545" s="8">
        <f t="shared" si="75"/>
        <v>335.67</v>
      </c>
      <c r="I545" s="8">
        <f t="shared" si="76"/>
        <v>335.67</v>
      </c>
    </row>
    <row r="546" spans="1:9" x14ac:dyDescent="0.2">
      <c r="A546" s="203" t="s">
        <v>602</v>
      </c>
      <c r="B546" s="6" t="s">
        <v>237</v>
      </c>
      <c r="C546" s="6" t="s">
        <v>301</v>
      </c>
      <c r="D546" s="202">
        <v>41091</v>
      </c>
      <c r="E546" s="8">
        <v>7051.3000000000011</v>
      </c>
      <c r="F546" s="17">
        <f t="shared" si="69"/>
        <v>12</v>
      </c>
      <c r="G546" s="236">
        <f t="shared" si="77"/>
        <v>2.4666666666666669E-3</v>
      </c>
      <c r="H546" s="8">
        <f t="shared" si="75"/>
        <v>208.72</v>
      </c>
      <c r="I546" s="8">
        <f t="shared" si="76"/>
        <v>208.72</v>
      </c>
    </row>
    <row r="547" spans="1:9" x14ac:dyDescent="0.2">
      <c r="A547" s="203" t="s">
        <v>602</v>
      </c>
      <c r="B547" s="6" t="s">
        <v>232</v>
      </c>
      <c r="C547" s="6" t="s">
        <v>329</v>
      </c>
      <c r="D547" s="202">
        <v>41061</v>
      </c>
      <c r="E547" s="8">
        <v>2359.33</v>
      </c>
      <c r="F547" s="17">
        <f t="shared" si="69"/>
        <v>12</v>
      </c>
      <c r="G547" s="236">
        <f t="shared" si="77"/>
        <v>2.4666666666666669E-3</v>
      </c>
      <c r="H547" s="8">
        <f t="shared" si="75"/>
        <v>69.84</v>
      </c>
      <c r="I547" s="8">
        <f t="shared" si="76"/>
        <v>69.84</v>
      </c>
    </row>
    <row r="548" spans="1:9" x14ac:dyDescent="0.2">
      <c r="A548" s="203" t="s">
        <v>602</v>
      </c>
      <c r="B548" s="6" t="s">
        <v>232</v>
      </c>
      <c r="C548" s="6" t="s">
        <v>329</v>
      </c>
      <c r="D548" s="202">
        <v>41091</v>
      </c>
      <c r="E548" s="8">
        <v>1159.1099999999999</v>
      </c>
      <c r="F548" s="17">
        <f t="shared" si="69"/>
        <v>12</v>
      </c>
      <c r="G548" s="236">
        <f t="shared" si="77"/>
        <v>2.4666666666666669E-3</v>
      </c>
      <c r="H548" s="8">
        <f t="shared" si="75"/>
        <v>34.31</v>
      </c>
      <c r="I548" s="8">
        <f t="shared" si="76"/>
        <v>34.31</v>
      </c>
    </row>
    <row r="549" spans="1:9" x14ac:dyDescent="0.2">
      <c r="A549" s="203" t="s">
        <v>602</v>
      </c>
      <c r="B549" s="6" t="s">
        <v>233</v>
      </c>
      <c r="C549" s="6" t="s">
        <v>331</v>
      </c>
      <c r="D549" s="202">
        <v>41061</v>
      </c>
      <c r="E549" s="8">
        <v>1277.3999999999999</v>
      </c>
      <c r="F549" s="17">
        <f t="shared" si="69"/>
        <v>12</v>
      </c>
      <c r="G549" s="236">
        <f t="shared" si="77"/>
        <v>2.4666666666666669E-3</v>
      </c>
      <c r="H549" s="8">
        <f t="shared" si="75"/>
        <v>37.81</v>
      </c>
      <c r="I549" s="8">
        <f t="shared" si="76"/>
        <v>37.81</v>
      </c>
    </row>
    <row r="550" spans="1:9" x14ac:dyDescent="0.2">
      <c r="A550" s="203" t="s">
        <v>603</v>
      </c>
      <c r="B550" s="6" t="s">
        <v>238</v>
      </c>
      <c r="C550" s="6" t="s">
        <v>303</v>
      </c>
      <c r="D550" s="202">
        <v>41061</v>
      </c>
      <c r="E550" s="8">
        <v>91.06</v>
      </c>
      <c r="F550" s="17">
        <f t="shared" si="69"/>
        <v>12</v>
      </c>
      <c r="G550" s="236">
        <f t="shared" ref="G550:G560" si="78">0.0419/12</f>
        <v>3.4916666666666668E-3</v>
      </c>
      <c r="H550" s="8">
        <f t="shared" si="75"/>
        <v>3.82</v>
      </c>
      <c r="I550" s="8">
        <f t="shared" si="76"/>
        <v>3.82</v>
      </c>
    </row>
    <row r="551" spans="1:9" x14ac:dyDescent="0.2">
      <c r="A551" s="203" t="s">
        <v>603</v>
      </c>
      <c r="B551" s="6" t="s">
        <v>239</v>
      </c>
      <c r="C551" s="6" t="s">
        <v>305</v>
      </c>
      <c r="D551" s="202">
        <v>41061</v>
      </c>
      <c r="E551" s="8">
        <v>7.1</v>
      </c>
      <c r="F551" s="17">
        <f t="shared" si="69"/>
        <v>12</v>
      </c>
      <c r="G551" s="236">
        <f t="shared" si="78"/>
        <v>3.4916666666666668E-3</v>
      </c>
      <c r="H551" s="8">
        <f t="shared" si="75"/>
        <v>0.3</v>
      </c>
      <c r="I551" s="8">
        <f t="shared" si="76"/>
        <v>0.3</v>
      </c>
    </row>
    <row r="552" spans="1:9" x14ac:dyDescent="0.2">
      <c r="A552" s="203" t="s">
        <v>603</v>
      </c>
      <c r="B552" s="6" t="s">
        <v>240</v>
      </c>
      <c r="C552" s="6" t="s">
        <v>307</v>
      </c>
      <c r="D552" s="202">
        <v>41061</v>
      </c>
      <c r="E552" s="8">
        <v>-27.62</v>
      </c>
      <c r="F552" s="17">
        <f t="shared" si="69"/>
        <v>12</v>
      </c>
      <c r="G552" s="236">
        <f t="shared" si="78"/>
        <v>3.4916666666666668E-3</v>
      </c>
      <c r="H552" s="8">
        <f t="shared" si="75"/>
        <v>-1.1599999999999999</v>
      </c>
      <c r="I552" s="8">
        <f t="shared" si="76"/>
        <v>-1.1599999999999999</v>
      </c>
    </row>
    <row r="553" spans="1:9" x14ac:dyDescent="0.2">
      <c r="A553" s="203" t="s">
        <v>603</v>
      </c>
      <c r="B553" s="6" t="s">
        <v>241</v>
      </c>
      <c r="C553" s="6" t="s">
        <v>308</v>
      </c>
      <c r="D553" s="202">
        <v>41061</v>
      </c>
      <c r="E553" s="8">
        <v>2714.37</v>
      </c>
      <c r="F553" s="17">
        <f t="shared" si="69"/>
        <v>12</v>
      </c>
      <c r="G553" s="236">
        <f t="shared" si="78"/>
        <v>3.4916666666666668E-3</v>
      </c>
      <c r="H553" s="8">
        <f t="shared" si="75"/>
        <v>113.73</v>
      </c>
      <c r="I553" s="8">
        <f t="shared" si="76"/>
        <v>113.73</v>
      </c>
    </row>
    <row r="554" spans="1:9" x14ac:dyDescent="0.2">
      <c r="A554" s="203" t="s">
        <v>603</v>
      </c>
      <c r="B554" s="6" t="s">
        <v>241</v>
      </c>
      <c r="C554" s="6" t="s">
        <v>308</v>
      </c>
      <c r="D554" s="202">
        <v>41091</v>
      </c>
      <c r="E554" s="8">
        <v>549.22</v>
      </c>
      <c r="F554" s="17">
        <f t="shared" si="69"/>
        <v>12</v>
      </c>
      <c r="G554" s="236">
        <f t="shared" si="78"/>
        <v>3.4916666666666668E-3</v>
      </c>
      <c r="H554" s="8">
        <f t="shared" si="75"/>
        <v>23.01</v>
      </c>
      <c r="I554" s="8">
        <f t="shared" si="76"/>
        <v>23.01</v>
      </c>
    </row>
    <row r="555" spans="1:9" x14ac:dyDescent="0.2">
      <c r="A555" s="203" t="s">
        <v>603</v>
      </c>
      <c r="B555" s="6" t="s">
        <v>234</v>
      </c>
      <c r="C555" s="6" t="s">
        <v>333</v>
      </c>
      <c r="D555" s="202">
        <v>41061</v>
      </c>
      <c r="E555" s="8">
        <v>186.62</v>
      </c>
      <c r="F555" s="17">
        <f t="shared" si="69"/>
        <v>12</v>
      </c>
      <c r="G555" s="236">
        <f t="shared" si="78"/>
        <v>3.4916666666666668E-3</v>
      </c>
      <c r="H555" s="8">
        <f t="shared" si="75"/>
        <v>7.82</v>
      </c>
      <c r="I555" s="8">
        <f t="shared" si="76"/>
        <v>7.82</v>
      </c>
    </row>
    <row r="556" spans="1:9" x14ac:dyDescent="0.2">
      <c r="A556" s="203" t="s">
        <v>603</v>
      </c>
      <c r="B556" s="6" t="s">
        <v>234</v>
      </c>
      <c r="C556" s="6" t="s">
        <v>333</v>
      </c>
      <c r="D556" s="202">
        <v>41091</v>
      </c>
      <c r="E556" s="8">
        <v>34.79</v>
      </c>
      <c r="F556" s="17">
        <f t="shared" si="69"/>
        <v>12</v>
      </c>
      <c r="G556" s="236">
        <f t="shared" si="78"/>
        <v>3.4916666666666668E-3</v>
      </c>
      <c r="H556" s="8">
        <f t="shared" si="75"/>
        <v>1.46</v>
      </c>
      <c r="I556" s="8">
        <f t="shared" si="76"/>
        <v>1.46</v>
      </c>
    </row>
    <row r="557" spans="1:9" x14ac:dyDescent="0.2">
      <c r="A557" s="203" t="s">
        <v>603</v>
      </c>
      <c r="B557" s="6" t="s">
        <v>242</v>
      </c>
      <c r="C557" s="6" t="s">
        <v>335</v>
      </c>
      <c r="D557" s="202">
        <v>41061</v>
      </c>
      <c r="E557" s="8">
        <v>13.73</v>
      </c>
      <c r="F557" s="17">
        <f t="shared" ref="F557:F560" si="79">IF((YEAR($F$1)-YEAR($D557))*12+MONTH($F$1)-MONTH($D557)&gt;12,12,(YEAR($F$1)-YEAR($D557))*12+MONTH($F$1)-MONTH($D557))</f>
        <v>12</v>
      </c>
      <c r="G557" s="236">
        <f t="shared" si="78"/>
        <v>3.4916666666666668E-3</v>
      </c>
      <c r="H557" s="8">
        <f t="shared" si="75"/>
        <v>0.57999999999999996</v>
      </c>
      <c r="I557" s="8">
        <f t="shared" si="76"/>
        <v>0.57999999999999996</v>
      </c>
    </row>
    <row r="558" spans="1:9" x14ac:dyDescent="0.2">
      <c r="A558" s="203" t="s">
        <v>603</v>
      </c>
      <c r="B558" s="6" t="s">
        <v>243</v>
      </c>
      <c r="C558" s="6" t="s">
        <v>337</v>
      </c>
      <c r="D558" s="202">
        <v>41061</v>
      </c>
      <c r="E558" s="8">
        <v>3.13</v>
      </c>
      <c r="F558" s="17">
        <f t="shared" si="79"/>
        <v>12</v>
      </c>
      <c r="G558" s="236">
        <f t="shared" si="78"/>
        <v>3.4916666666666668E-3</v>
      </c>
      <c r="H558" s="8">
        <f t="shared" si="75"/>
        <v>0.13</v>
      </c>
      <c r="I558" s="8">
        <f t="shared" si="76"/>
        <v>0.13</v>
      </c>
    </row>
    <row r="559" spans="1:9" x14ac:dyDescent="0.2">
      <c r="A559" s="203" t="s">
        <v>603</v>
      </c>
      <c r="B559" s="6" t="s">
        <v>244</v>
      </c>
      <c r="C559" s="6" t="s">
        <v>339</v>
      </c>
      <c r="D559" s="202">
        <v>41061</v>
      </c>
      <c r="E559" s="8">
        <v>-45.94</v>
      </c>
      <c r="F559" s="17">
        <f t="shared" si="79"/>
        <v>12</v>
      </c>
      <c r="G559" s="236">
        <f t="shared" si="78"/>
        <v>3.4916666666666668E-3</v>
      </c>
      <c r="H559" s="8">
        <f t="shared" si="75"/>
        <v>-1.92</v>
      </c>
      <c r="I559" s="8">
        <f t="shared" si="76"/>
        <v>-1.92</v>
      </c>
    </row>
    <row r="560" spans="1:9" x14ac:dyDescent="0.2">
      <c r="A560" s="203" t="s">
        <v>603</v>
      </c>
      <c r="B560" s="6" t="s">
        <v>244</v>
      </c>
      <c r="C560" s="6" t="s">
        <v>339</v>
      </c>
      <c r="D560" s="202">
        <v>41091</v>
      </c>
      <c r="E560" s="8">
        <v>-11.52</v>
      </c>
      <c r="F560" s="17">
        <f t="shared" si="79"/>
        <v>12</v>
      </c>
      <c r="G560" s="236">
        <f t="shared" si="78"/>
        <v>3.4916666666666668E-3</v>
      </c>
      <c r="H560" s="8">
        <f t="shared" si="75"/>
        <v>-0.48</v>
      </c>
      <c r="I560" s="8">
        <f t="shared" si="76"/>
        <v>-0.48</v>
      </c>
    </row>
    <row r="561" spans="1:9" x14ac:dyDescent="0.2">
      <c r="A561" s="3"/>
      <c r="B561" s="3"/>
      <c r="C561" s="3"/>
      <c r="D561" s="9"/>
      <c r="E561" s="182"/>
      <c r="F561" s="11"/>
      <c r="G561" s="161"/>
      <c r="H561" s="10"/>
      <c r="I561" s="10"/>
    </row>
    <row r="562" spans="1:9" ht="13.5" thickBot="1" x14ac:dyDescent="0.25">
      <c r="A562" s="3"/>
      <c r="B562" s="3"/>
      <c r="C562" s="12" t="s">
        <v>27</v>
      </c>
      <c r="D562" s="9"/>
      <c r="E562" s="244">
        <f>SUM(E313:E560)</f>
        <v>3282928.8400000031</v>
      </c>
      <c r="F562" s="151"/>
      <c r="G562" s="161"/>
      <c r="H562" s="13">
        <f>SUM(H313:H560)</f>
        <v>116747.13000000003</v>
      </c>
      <c r="I562" s="13">
        <f>SUM(I313:I560)</f>
        <v>147997.98999999993</v>
      </c>
    </row>
    <row r="563" spans="1:9" ht="13.5" thickTop="1" x14ac:dyDescent="0.2">
      <c r="A563" s="3"/>
      <c r="B563" s="3"/>
      <c r="C563" s="3"/>
      <c r="D563" s="9"/>
      <c r="E563" s="182"/>
      <c r="F563" s="11"/>
      <c r="G563" s="161"/>
      <c r="H563" s="10"/>
      <c r="I563" s="10"/>
    </row>
    <row r="564" spans="1:9" x14ac:dyDescent="0.2">
      <c r="A564" s="3"/>
      <c r="B564" s="3"/>
      <c r="C564" s="3"/>
      <c r="D564" s="9"/>
      <c r="E564" s="182"/>
      <c r="F564" s="11"/>
      <c r="G564" s="161"/>
      <c r="H564" s="10"/>
      <c r="I564" s="10"/>
    </row>
    <row r="565" spans="1:9" x14ac:dyDescent="0.2">
      <c r="A565" s="2" t="s">
        <v>38</v>
      </c>
      <c r="B565" s="3"/>
      <c r="C565" s="3"/>
      <c r="D565" s="9"/>
      <c r="E565" s="182"/>
      <c r="F565" s="11"/>
      <c r="G565" s="161"/>
      <c r="H565" s="10"/>
      <c r="I565" s="10"/>
    </row>
    <row r="566" spans="1:9" x14ac:dyDescent="0.2">
      <c r="A566" s="3"/>
      <c r="B566" s="3"/>
      <c r="C566" s="3"/>
      <c r="D566" s="9"/>
      <c r="E566" s="182"/>
      <c r="F566" s="11"/>
      <c r="G566" s="161"/>
      <c r="H566" s="10"/>
      <c r="I566" s="10"/>
    </row>
    <row r="567" spans="1:9" x14ac:dyDescent="0.2">
      <c r="A567" s="208">
        <v>38100</v>
      </c>
      <c r="B567" s="6" t="s">
        <v>535</v>
      </c>
      <c r="C567" s="6" t="s">
        <v>381</v>
      </c>
      <c r="D567" s="202">
        <v>41297</v>
      </c>
      <c r="E567" s="8">
        <v>3622.6200000000003</v>
      </c>
      <c r="F567" s="17">
        <f t="shared" ref="F567:F654" si="80">IF((YEAR($F$1)-YEAR($D567))*12+MONTH($F$1)-MONTH($D567)&gt;12,12,(YEAR($F$1)-YEAR($D567))*12+MONTH($F$1)-MONTH($D567))</f>
        <v>9</v>
      </c>
      <c r="G567" s="236">
        <f>0.0252/12</f>
        <v>2.0999999999999999E-3</v>
      </c>
      <c r="H567" s="8">
        <f>ROUND(E567*F567*G567,2)</f>
        <v>68.47</v>
      </c>
      <c r="I567" s="8">
        <f>ROUND(E567*G567*12,2)</f>
        <v>91.29</v>
      </c>
    </row>
    <row r="568" spans="1:9" x14ac:dyDescent="0.2">
      <c r="A568" s="208">
        <v>38100</v>
      </c>
      <c r="B568" s="155" t="s">
        <v>536</v>
      </c>
      <c r="C568" s="6" t="s">
        <v>381</v>
      </c>
      <c r="D568" s="202">
        <v>41379</v>
      </c>
      <c r="E568" s="8">
        <v>879.95999999999992</v>
      </c>
      <c r="F568" s="17">
        <f t="shared" si="80"/>
        <v>6</v>
      </c>
      <c r="G568" s="236">
        <f t="shared" ref="G568:G629" si="81">0.0252/12</f>
        <v>2.0999999999999999E-3</v>
      </c>
      <c r="H568" s="8">
        <f>ROUND(E568*F568*G568,2)</f>
        <v>11.09</v>
      </c>
      <c r="I568" s="8">
        <f>ROUND(E568*G568*12,2)</f>
        <v>22.17</v>
      </c>
    </row>
    <row r="569" spans="1:9" x14ac:dyDescent="0.2">
      <c r="A569" s="208">
        <v>38100</v>
      </c>
      <c r="B569" s="155" t="s">
        <v>537</v>
      </c>
      <c r="C569" s="6" t="s">
        <v>381</v>
      </c>
      <c r="D569" s="202">
        <v>41428</v>
      </c>
      <c r="E569" s="8">
        <v>203</v>
      </c>
      <c r="F569" s="17">
        <f t="shared" si="80"/>
        <v>4</v>
      </c>
      <c r="G569" s="236">
        <f t="shared" si="81"/>
        <v>2.0999999999999999E-3</v>
      </c>
      <c r="H569" s="8">
        <f>ROUND(E569*F569*G569,2)</f>
        <v>1.71</v>
      </c>
      <c r="I569" s="8">
        <f>ROUND(E569*G569*12,2)</f>
        <v>5.12</v>
      </c>
    </row>
    <row r="570" spans="1:9" x14ac:dyDescent="0.2">
      <c r="A570" s="208">
        <v>38100</v>
      </c>
      <c r="B570" s="155" t="s">
        <v>538</v>
      </c>
      <c r="C570" s="6" t="s">
        <v>381</v>
      </c>
      <c r="D570" s="202">
        <v>41297</v>
      </c>
      <c r="E570" s="8">
        <v>2553.1599999999994</v>
      </c>
      <c r="F570" s="17">
        <f t="shared" si="80"/>
        <v>9</v>
      </c>
      <c r="G570" s="236">
        <f t="shared" si="81"/>
        <v>2.0999999999999999E-3</v>
      </c>
      <c r="H570" s="8">
        <f>ROUND(E570*F570*G570,2)</f>
        <v>48.25</v>
      </c>
      <c r="I570" s="8">
        <f>ROUND(E570*G570*12,2)</f>
        <v>64.34</v>
      </c>
    </row>
    <row r="571" spans="1:9" x14ac:dyDescent="0.2">
      <c r="A571" s="208">
        <v>38100</v>
      </c>
      <c r="B571" s="155" t="s">
        <v>539</v>
      </c>
      <c r="C571" s="6" t="s">
        <v>381</v>
      </c>
      <c r="D571" s="202">
        <v>41379</v>
      </c>
      <c r="E571" s="8">
        <v>7720.71</v>
      </c>
      <c r="F571" s="17">
        <f t="shared" si="80"/>
        <v>6</v>
      </c>
      <c r="G571" s="236">
        <f t="shared" si="81"/>
        <v>2.0999999999999999E-3</v>
      </c>
      <c r="H571" s="8">
        <f t="shared" ref="H571:H585" si="82">ROUND(E571*F571*G571,2)</f>
        <v>97.28</v>
      </c>
      <c r="I571" s="8">
        <f t="shared" ref="I571:I585" si="83">ROUND(E571*G571*12,2)</f>
        <v>194.56</v>
      </c>
    </row>
    <row r="572" spans="1:9" x14ac:dyDescent="0.2">
      <c r="A572" s="208">
        <v>38100</v>
      </c>
      <c r="B572" s="155" t="s">
        <v>540</v>
      </c>
      <c r="C572" s="6" t="s">
        <v>381</v>
      </c>
      <c r="D572" s="202">
        <v>41430</v>
      </c>
      <c r="E572" s="8">
        <v>230.32</v>
      </c>
      <c r="F572" s="17">
        <f t="shared" si="80"/>
        <v>4</v>
      </c>
      <c r="G572" s="236">
        <f t="shared" si="81"/>
        <v>2.0999999999999999E-3</v>
      </c>
      <c r="H572" s="8">
        <f t="shared" si="82"/>
        <v>1.93</v>
      </c>
      <c r="I572" s="8">
        <f t="shared" si="83"/>
        <v>5.8</v>
      </c>
    </row>
    <row r="573" spans="1:9" x14ac:dyDescent="0.2">
      <c r="A573" s="208">
        <v>38100</v>
      </c>
      <c r="B573" s="155" t="s">
        <v>541</v>
      </c>
      <c r="C573" s="6" t="s">
        <v>381</v>
      </c>
      <c r="D573" s="202">
        <v>41297</v>
      </c>
      <c r="E573" s="8">
        <v>1403.3300000000006</v>
      </c>
      <c r="F573" s="17">
        <f t="shared" si="80"/>
        <v>9</v>
      </c>
      <c r="G573" s="236">
        <f t="shared" si="81"/>
        <v>2.0999999999999999E-3</v>
      </c>
      <c r="H573" s="8">
        <f t="shared" si="82"/>
        <v>26.52</v>
      </c>
      <c r="I573" s="8">
        <f t="shared" si="83"/>
        <v>35.36</v>
      </c>
    </row>
    <row r="574" spans="1:9" x14ac:dyDescent="0.2">
      <c r="A574" s="208">
        <v>38100</v>
      </c>
      <c r="B574" s="155" t="s">
        <v>542</v>
      </c>
      <c r="C574" s="6" t="s">
        <v>381</v>
      </c>
      <c r="D574" s="202">
        <v>41379</v>
      </c>
      <c r="E574" s="8">
        <v>3042.2099999999996</v>
      </c>
      <c r="F574" s="17">
        <f t="shared" si="80"/>
        <v>6</v>
      </c>
      <c r="G574" s="236">
        <f t="shared" si="81"/>
        <v>2.0999999999999999E-3</v>
      </c>
      <c r="H574" s="8">
        <f t="shared" si="82"/>
        <v>38.33</v>
      </c>
      <c r="I574" s="8">
        <f t="shared" si="83"/>
        <v>76.66</v>
      </c>
    </row>
    <row r="575" spans="1:9" x14ac:dyDescent="0.2">
      <c r="A575" s="208">
        <v>38100</v>
      </c>
      <c r="B575" s="155" t="s">
        <v>543</v>
      </c>
      <c r="C575" s="6" t="s">
        <v>381</v>
      </c>
      <c r="D575" s="202">
        <v>41452</v>
      </c>
      <c r="E575" s="8">
        <v>573.58999999999992</v>
      </c>
      <c r="F575" s="17">
        <f t="shared" si="80"/>
        <v>4</v>
      </c>
      <c r="G575" s="236">
        <f t="shared" si="81"/>
        <v>2.0999999999999999E-3</v>
      </c>
      <c r="H575" s="8">
        <f t="shared" si="82"/>
        <v>4.82</v>
      </c>
      <c r="I575" s="8">
        <f t="shared" si="83"/>
        <v>14.45</v>
      </c>
    </row>
    <row r="576" spans="1:9" x14ac:dyDescent="0.2">
      <c r="A576" s="205">
        <v>38200</v>
      </c>
      <c r="B576" s="155" t="s">
        <v>544</v>
      </c>
      <c r="C576" s="6" t="s">
        <v>395</v>
      </c>
      <c r="D576" s="202">
        <v>41297</v>
      </c>
      <c r="E576" s="8">
        <v>24860.47000000003</v>
      </c>
      <c r="F576" s="17">
        <f t="shared" si="80"/>
        <v>9</v>
      </c>
      <c r="G576" s="236">
        <f t="shared" ref="G576:G585" si="84">0.0391/12</f>
        <v>3.2583333333333336E-3</v>
      </c>
      <c r="H576" s="8">
        <f t="shared" si="82"/>
        <v>729.03</v>
      </c>
      <c r="I576" s="8">
        <f t="shared" si="83"/>
        <v>972.04</v>
      </c>
    </row>
    <row r="577" spans="1:9" x14ac:dyDescent="0.2">
      <c r="A577" s="208">
        <v>38200</v>
      </c>
      <c r="B577" s="155" t="s">
        <v>545</v>
      </c>
      <c r="C577" s="6" t="s">
        <v>396</v>
      </c>
      <c r="D577" s="202">
        <v>41297</v>
      </c>
      <c r="E577" s="8">
        <v>3669.0800000000004</v>
      </c>
      <c r="F577" s="17">
        <f t="shared" si="80"/>
        <v>9</v>
      </c>
      <c r="G577" s="236">
        <f t="shared" si="84"/>
        <v>3.2583333333333336E-3</v>
      </c>
      <c r="H577" s="8">
        <f t="shared" si="82"/>
        <v>107.6</v>
      </c>
      <c r="I577" s="8">
        <f t="shared" si="83"/>
        <v>143.46</v>
      </c>
    </row>
    <row r="578" spans="1:9" x14ac:dyDescent="0.2">
      <c r="A578" s="208">
        <v>38200</v>
      </c>
      <c r="B578" s="155" t="s">
        <v>546</v>
      </c>
      <c r="C578" s="6" t="s">
        <v>396</v>
      </c>
      <c r="D578" s="202">
        <v>41379</v>
      </c>
      <c r="E578" s="8">
        <v>5080.97</v>
      </c>
      <c r="F578" s="17">
        <f t="shared" si="80"/>
        <v>6</v>
      </c>
      <c r="G578" s="236">
        <f t="shared" si="84"/>
        <v>3.2583333333333336E-3</v>
      </c>
      <c r="H578" s="8">
        <f t="shared" si="82"/>
        <v>99.33</v>
      </c>
      <c r="I578" s="8">
        <f t="shared" si="83"/>
        <v>198.67</v>
      </c>
    </row>
    <row r="579" spans="1:9" x14ac:dyDescent="0.2">
      <c r="A579" s="208">
        <v>38200</v>
      </c>
      <c r="B579" s="155" t="s">
        <v>547</v>
      </c>
      <c r="C579" s="6" t="s">
        <v>396</v>
      </c>
      <c r="D579" s="202">
        <v>41428</v>
      </c>
      <c r="E579" s="8">
        <v>8806.1299999999992</v>
      </c>
      <c r="F579" s="17">
        <f t="shared" si="80"/>
        <v>4</v>
      </c>
      <c r="G579" s="236">
        <f t="shared" si="84"/>
        <v>3.2583333333333336E-3</v>
      </c>
      <c r="H579" s="8">
        <f t="shared" si="82"/>
        <v>114.77</v>
      </c>
      <c r="I579" s="8">
        <f t="shared" si="83"/>
        <v>344.32</v>
      </c>
    </row>
    <row r="580" spans="1:9" x14ac:dyDescent="0.2">
      <c r="A580" s="208">
        <v>38200</v>
      </c>
      <c r="B580" s="155" t="s">
        <v>548</v>
      </c>
      <c r="C580" s="6" t="s">
        <v>396</v>
      </c>
      <c r="D580" s="202">
        <v>41297</v>
      </c>
      <c r="E580" s="8">
        <v>10464.480000000005</v>
      </c>
      <c r="F580" s="17">
        <f t="shared" si="80"/>
        <v>9</v>
      </c>
      <c r="G580" s="236">
        <f t="shared" si="84"/>
        <v>3.2583333333333336E-3</v>
      </c>
      <c r="H580" s="8">
        <f t="shared" si="82"/>
        <v>306.87</v>
      </c>
      <c r="I580" s="8">
        <f t="shared" si="83"/>
        <v>409.16</v>
      </c>
    </row>
    <row r="581" spans="1:9" x14ac:dyDescent="0.2">
      <c r="A581" s="208">
        <v>38200</v>
      </c>
      <c r="B581" s="155" t="s">
        <v>549</v>
      </c>
      <c r="C581" s="6" t="s">
        <v>396</v>
      </c>
      <c r="D581" s="202">
        <v>41379</v>
      </c>
      <c r="E581" s="8">
        <v>5050.6900000000014</v>
      </c>
      <c r="F581" s="17">
        <f t="shared" si="80"/>
        <v>6</v>
      </c>
      <c r="G581" s="236">
        <f t="shared" si="84"/>
        <v>3.2583333333333336E-3</v>
      </c>
      <c r="H581" s="8">
        <f t="shared" si="82"/>
        <v>98.74</v>
      </c>
      <c r="I581" s="8">
        <f t="shared" si="83"/>
        <v>197.48</v>
      </c>
    </row>
    <row r="582" spans="1:9" x14ac:dyDescent="0.2">
      <c r="A582" s="208">
        <v>38200</v>
      </c>
      <c r="B582" s="155" t="s">
        <v>550</v>
      </c>
      <c r="C582" s="6" t="s">
        <v>396</v>
      </c>
      <c r="D582" s="202">
        <v>41429</v>
      </c>
      <c r="E582" s="8">
        <v>2893.43</v>
      </c>
      <c r="F582" s="17">
        <f t="shared" si="80"/>
        <v>4</v>
      </c>
      <c r="G582" s="236">
        <f t="shared" si="84"/>
        <v>3.2583333333333336E-3</v>
      </c>
      <c r="H582" s="8">
        <f t="shared" si="82"/>
        <v>37.71</v>
      </c>
      <c r="I582" s="8">
        <f t="shared" si="83"/>
        <v>113.13</v>
      </c>
    </row>
    <row r="583" spans="1:9" x14ac:dyDescent="0.2">
      <c r="A583" s="208">
        <v>38200</v>
      </c>
      <c r="B583" s="155" t="s">
        <v>551</v>
      </c>
      <c r="C583" s="6" t="s">
        <v>396</v>
      </c>
      <c r="D583" s="202">
        <v>41297</v>
      </c>
      <c r="E583" s="8">
        <v>1109.4399999999994</v>
      </c>
      <c r="F583" s="17">
        <f t="shared" si="80"/>
        <v>9</v>
      </c>
      <c r="G583" s="236">
        <f t="shared" si="84"/>
        <v>3.2583333333333336E-3</v>
      </c>
      <c r="H583" s="8">
        <f t="shared" si="82"/>
        <v>32.53</v>
      </c>
      <c r="I583" s="8">
        <f t="shared" si="83"/>
        <v>43.38</v>
      </c>
    </row>
    <row r="584" spans="1:9" x14ac:dyDescent="0.2">
      <c r="A584" s="208">
        <v>38200</v>
      </c>
      <c r="B584" s="155" t="s">
        <v>552</v>
      </c>
      <c r="C584" s="6" t="s">
        <v>396</v>
      </c>
      <c r="D584" s="202">
        <v>41379</v>
      </c>
      <c r="E584" s="8">
        <v>4553.4900000000061</v>
      </c>
      <c r="F584" s="17">
        <f t="shared" si="80"/>
        <v>6</v>
      </c>
      <c r="G584" s="236">
        <f t="shared" si="84"/>
        <v>3.2583333333333336E-3</v>
      </c>
      <c r="H584" s="8">
        <f t="shared" si="82"/>
        <v>89.02</v>
      </c>
      <c r="I584" s="8">
        <f t="shared" si="83"/>
        <v>178.04</v>
      </c>
    </row>
    <row r="585" spans="1:9" x14ac:dyDescent="0.2">
      <c r="A585" s="208">
        <v>38200</v>
      </c>
      <c r="B585" s="155" t="s">
        <v>553</v>
      </c>
      <c r="C585" s="6" t="s">
        <v>396</v>
      </c>
      <c r="D585" s="202">
        <v>41451</v>
      </c>
      <c r="E585" s="8">
        <v>3451.2400000000007</v>
      </c>
      <c r="F585" s="17">
        <f t="shared" si="80"/>
        <v>4</v>
      </c>
      <c r="G585" s="236">
        <f t="shared" si="84"/>
        <v>3.2583333333333336E-3</v>
      </c>
      <c r="H585" s="8">
        <f t="shared" si="82"/>
        <v>44.98</v>
      </c>
      <c r="I585" s="8">
        <f t="shared" si="83"/>
        <v>134.94</v>
      </c>
    </row>
    <row r="586" spans="1:9" x14ac:dyDescent="0.2">
      <c r="A586" s="208" t="s">
        <v>601</v>
      </c>
      <c r="B586" s="155" t="s">
        <v>213</v>
      </c>
      <c r="C586" s="6" t="s">
        <v>285</v>
      </c>
      <c r="D586" s="202">
        <v>41061</v>
      </c>
      <c r="E586" s="243">
        <v>-11.55</v>
      </c>
      <c r="F586" s="17">
        <f t="shared" si="80"/>
        <v>12</v>
      </c>
      <c r="G586" s="236">
        <f t="shared" si="81"/>
        <v>2.0999999999999999E-3</v>
      </c>
      <c r="H586" s="8">
        <f t="shared" ref="H586:H626" si="85">ROUND(E586*F586*G586,2)</f>
        <v>-0.28999999999999998</v>
      </c>
      <c r="I586" s="8">
        <f t="shared" ref="I586:I626" si="86">ROUND(E586*G586*12,2)</f>
        <v>-0.28999999999999998</v>
      </c>
    </row>
    <row r="587" spans="1:9" x14ac:dyDescent="0.2">
      <c r="A587" s="208" t="s">
        <v>601</v>
      </c>
      <c r="B587" s="155" t="s">
        <v>213</v>
      </c>
      <c r="C587" s="6" t="s">
        <v>285</v>
      </c>
      <c r="D587" s="202">
        <v>41091</v>
      </c>
      <c r="E587" s="243">
        <v>45.95</v>
      </c>
      <c r="F587" s="17">
        <f t="shared" si="80"/>
        <v>12</v>
      </c>
      <c r="G587" s="236">
        <f t="shared" si="81"/>
        <v>2.0999999999999999E-3</v>
      </c>
      <c r="H587" s="8">
        <f t="shared" si="85"/>
        <v>1.1599999999999999</v>
      </c>
      <c r="I587" s="8">
        <f t="shared" si="86"/>
        <v>1.1599999999999999</v>
      </c>
    </row>
    <row r="588" spans="1:9" x14ac:dyDescent="0.2">
      <c r="A588" s="208" t="s">
        <v>601</v>
      </c>
      <c r="B588" s="155" t="s">
        <v>245</v>
      </c>
      <c r="C588" s="6" t="s">
        <v>295</v>
      </c>
      <c r="D588" s="202">
        <v>41061</v>
      </c>
      <c r="E588" s="243">
        <v>-190.23</v>
      </c>
      <c r="F588" s="17">
        <f t="shared" si="80"/>
        <v>12</v>
      </c>
      <c r="G588" s="236">
        <f t="shared" si="81"/>
        <v>2.0999999999999999E-3</v>
      </c>
      <c r="H588" s="8">
        <f t="shared" si="85"/>
        <v>-4.79</v>
      </c>
      <c r="I588" s="8">
        <f t="shared" si="86"/>
        <v>-4.79</v>
      </c>
    </row>
    <row r="589" spans="1:9" x14ac:dyDescent="0.2">
      <c r="A589" s="208" t="s">
        <v>601</v>
      </c>
      <c r="B589" s="155" t="s">
        <v>245</v>
      </c>
      <c r="C589" s="6" t="s">
        <v>295</v>
      </c>
      <c r="D589" s="202">
        <v>41091</v>
      </c>
      <c r="E589" s="243">
        <v>1600.28</v>
      </c>
      <c r="F589" s="17">
        <f t="shared" si="80"/>
        <v>12</v>
      </c>
      <c r="G589" s="236">
        <f t="shared" si="81"/>
        <v>2.0999999999999999E-3</v>
      </c>
      <c r="H589" s="8">
        <f t="shared" si="85"/>
        <v>40.33</v>
      </c>
      <c r="I589" s="8">
        <f t="shared" si="86"/>
        <v>40.33</v>
      </c>
    </row>
    <row r="590" spans="1:9" x14ac:dyDescent="0.2">
      <c r="A590" s="208" t="s">
        <v>601</v>
      </c>
      <c r="B590" s="155" t="s">
        <v>246</v>
      </c>
      <c r="C590" s="6" t="s">
        <v>299</v>
      </c>
      <c r="D590" s="202">
        <v>41061</v>
      </c>
      <c r="E590" s="243">
        <v>609.77</v>
      </c>
      <c r="F590" s="17">
        <f t="shared" si="80"/>
        <v>12</v>
      </c>
      <c r="G590" s="236">
        <f t="shared" si="81"/>
        <v>2.0999999999999999E-3</v>
      </c>
      <c r="H590" s="8">
        <f t="shared" si="85"/>
        <v>15.37</v>
      </c>
      <c r="I590" s="8">
        <f t="shared" si="86"/>
        <v>15.37</v>
      </c>
    </row>
    <row r="591" spans="1:9" x14ac:dyDescent="0.2">
      <c r="A591" s="208" t="s">
        <v>601</v>
      </c>
      <c r="B591" s="155" t="s">
        <v>246</v>
      </c>
      <c r="C591" s="6" t="s">
        <v>299</v>
      </c>
      <c r="D591" s="202">
        <v>41091</v>
      </c>
      <c r="E591" s="243">
        <v>1914.77</v>
      </c>
      <c r="F591" s="17">
        <f t="shared" si="80"/>
        <v>12</v>
      </c>
      <c r="G591" s="236">
        <f t="shared" si="81"/>
        <v>2.0999999999999999E-3</v>
      </c>
      <c r="H591" s="8">
        <f t="shared" si="85"/>
        <v>48.25</v>
      </c>
      <c r="I591" s="8">
        <f t="shared" si="86"/>
        <v>48.25</v>
      </c>
    </row>
    <row r="592" spans="1:9" x14ac:dyDescent="0.2">
      <c r="A592" s="208" t="s">
        <v>601</v>
      </c>
      <c r="B592" s="155" t="s">
        <v>247</v>
      </c>
      <c r="C592" s="6" t="s">
        <v>328</v>
      </c>
      <c r="D592" s="202">
        <v>41061</v>
      </c>
      <c r="E592" s="243">
        <v>-791.24</v>
      </c>
      <c r="F592" s="17">
        <f t="shared" si="80"/>
        <v>12</v>
      </c>
      <c r="G592" s="236">
        <f t="shared" si="81"/>
        <v>2.0999999999999999E-3</v>
      </c>
      <c r="H592" s="8">
        <f t="shared" si="85"/>
        <v>-19.940000000000001</v>
      </c>
      <c r="I592" s="8">
        <f t="shared" si="86"/>
        <v>-19.940000000000001</v>
      </c>
    </row>
    <row r="593" spans="1:9" x14ac:dyDescent="0.2">
      <c r="A593" s="208" t="s">
        <v>601</v>
      </c>
      <c r="B593" s="155" t="s">
        <v>247</v>
      </c>
      <c r="C593" s="6" t="s">
        <v>328</v>
      </c>
      <c r="D593" s="202">
        <v>41091</v>
      </c>
      <c r="E593" s="243">
        <v>25.01</v>
      </c>
      <c r="F593" s="17">
        <f t="shared" si="80"/>
        <v>12</v>
      </c>
      <c r="G593" s="236">
        <f t="shared" si="81"/>
        <v>2.0999999999999999E-3</v>
      </c>
      <c r="H593" s="8">
        <f t="shared" si="85"/>
        <v>0.63</v>
      </c>
      <c r="I593" s="8">
        <f t="shared" si="86"/>
        <v>0.63</v>
      </c>
    </row>
    <row r="594" spans="1:9" x14ac:dyDescent="0.2">
      <c r="A594" s="208" t="s">
        <v>601</v>
      </c>
      <c r="B594" s="155" t="s">
        <v>248</v>
      </c>
      <c r="C594" s="6" t="s">
        <v>330</v>
      </c>
      <c r="D594" s="202">
        <v>41061</v>
      </c>
      <c r="E594" s="243">
        <v>1282.75</v>
      </c>
      <c r="F594" s="17">
        <f t="shared" si="80"/>
        <v>12</v>
      </c>
      <c r="G594" s="236">
        <f t="shared" si="81"/>
        <v>2.0999999999999999E-3</v>
      </c>
      <c r="H594" s="8">
        <f t="shared" si="85"/>
        <v>32.33</v>
      </c>
      <c r="I594" s="8">
        <f t="shared" si="86"/>
        <v>32.33</v>
      </c>
    </row>
    <row r="595" spans="1:9" x14ac:dyDescent="0.2">
      <c r="A595" s="208" t="s">
        <v>601</v>
      </c>
      <c r="B595" s="155" t="s">
        <v>248</v>
      </c>
      <c r="C595" s="6" t="s">
        <v>330</v>
      </c>
      <c r="D595" s="202">
        <v>41091</v>
      </c>
      <c r="E595" s="243">
        <v>1059.32</v>
      </c>
      <c r="F595" s="17">
        <f t="shared" si="80"/>
        <v>12</v>
      </c>
      <c r="G595" s="236">
        <f t="shared" si="81"/>
        <v>2.0999999999999999E-3</v>
      </c>
      <c r="H595" s="8">
        <f t="shared" si="85"/>
        <v>26.69</v>
      </c>
      <c r="I595" s="8">
        <f t="shared" si="86"/>
        <v>26.69</v>
      </c>
    </row>
    <row r="596" spans="1:9" x14ac:dyDescent="0.2">
      <c r="A596" s="208" t="s">
        <v>602</v>
      </c>
      <c r="B596" s="155" t="s">
        <v>245</v>
      </c>
      <c r="C596" s="6" t="s">
        <v>295</v>
      </c>
      <c r="D596" s="202">
        <v>41091</v>
      </c>
      <c r="E596" s="243">
        <v>1575.21</v>
      </c>
      <c r="F596" s="17">
        <f t="shared" si="80"/>
        <v>12</v>
      </c>
      <c r="G596" s="236">
        <f t="shared" ref="G596:G606" si="87">0.0391/12</f>
        <v>3.2583333333333336E-3</v>
      </c>
      <c r="H596" s="8">
        <f t="shared" si="85"/>
        <v>61.59</v>
      </c>
      <c r="I596" s="8">
        <f t="shared" si="86"/>
        <v>61.59</v>
      </c>
    </row>
    <row r="597" spans="1:9" x14ac:dyDescent="0.2">
      <c r="A597" s="208" t="s">
        <v>602</v>
      </c>
      <c r="B597" s="155" t="s">
        <v>249</v>
      </c>
      <c r="C597" s="6" t="s">
        <v>297</v>
      </c>
      <c r="D597" s="202">
        <v>41061</v>
      </c>
      <c r="E597" s="8">
        <v>5276.87</v>
      </c>
      <c r="F597" s="17">
        <f t="shared" si="80"/>
        <v>12</v>
      </c>
      <c r="G597" s="236">
        <f t="shared" si="87"/>
        <v>3.2583333333333336E-3</v>
      </c>
      <c r="H597" s="8">
        <f t="shared" si="85"/>
        <v>206.33</v>
      </c>
      <c r="I597" s="8">
        <f t="shared" si="86"/>
        <v>206.33</v>
      </c>
    </row>
    <row r="598" spans="1:9" x14ac:dyDescent="0.2">
      <c r="A598" s="208" t="s">
        <v>602</v>
      </c>
      <c r="B598" s="155" t="s">
        <v>249</v>
      </c>
      <c r="C598" s="6" t="s">
        <v>297</v>
      </c>
      <c r="D598" s="202">
        <v>41091</v>
      </c>
      <c r="E598" s="8">
        <v>2690.54</v>
      </c>
      <c r="F598" s="17">
        <f t="shared" si="80"/>
        <v>12</v>
      </c>
      <c r="G598" s="236">
        <f t="shared" si="87"/>
        <v>3.2583333333333336E-3</v>
      </c>
      <c r="H598" s="8">
        <f t="shared" si="85"/>
        <v>105.2</v>
      </c>
      <c r="I598" s="8">
        <f t="shared" si="86"/>
        <v>105.2</v>
      </c>
    </row>
    <row r="599" spans="1:9" x14ac:dyDescent="0.2">
      <c r="A599" s="208" t="s">
        <v>602</v>
      </c>
      <c r="B599" s="155" t="s">
        <v>246</v>
      </c>
      <c r="C599" s="6" t="s">
        <v>299</v>
      </c>
      <c r="D599" s="202">
        <v>41061</v>
      </c>
      <c r="E599" s="8">
        <v>3654.47</v>
      </c>
      <c r="F599" s="17">
        <f t="shared" si="80"/>
        <v>12</v>
      </c>
      <c r="G599" s="236">
        <f t="shared" si="87"/>
        <v>3.2583333333333336E-3</v>
      </c>
      <c r="H599" s="8">
        <f t="shared" si="85"/>
        <v>142.88999999999999</v>
      </c>
      <c r="I599" s="8">
        <f t="shared" si="86"/>
        <v>142.88999999999999</v>
      </c>
    </row>
    <row r="600" spans="1:9" x14ac:dyDescent="0.2">
      <c r="A600" s="208" t="s">
        <v>602</v>
      </c>
      <c r="B600" s="155" t="s">
        <v>246</v>
      </c>
      <c r="C600" s="6" t="s">
        <v>299</v>
      </c>
      <c r="D600" s="202">
        <v>41091</v>
      </c>
      <c r="E600" s="8">
        <v>9593.4500000000007</v>
      </c>
      <c r="F600" s="17">
        <f t="shared" si="80"/>
        <v>12</v>
      </c>
      <c r="G600" s="236">
        <f t="shared" si="87"/>
        <v>3.2583333333333336E-3</v>
      </c>
      <c r="H600" s="8">
        <f t="shared" si="85"/>
        <v>375.1</v>
      </c>
      <c r="I600" s="8">
        <f t="shared" si="86"/>
        <v>375.1</v>
      </c>
    </row>
    <row r="601" spans="1:9" x14ac:dyDescent="0.2">
      <c r="A601" s="208" t="s">
        <v>602</v>
      </c>
      <c r="B601" s="155" t="s">
        <v>247</v>
      </c>
      <c r="C601" s="6" t="s">
        <v>328</v>
      </c>
      <c r="D601" s="202">
        <v>41061</v>
      </c>
      <c r="E601" s="8">
        <v>-2649.09</v>
      </c>
      <c r="F601" s="17">
        <f t="shared" si="80"/>
        <v>12</v>
      </c>
      <c r="G601" s="236">
        <f t="shared" si="87"/>
        <v>3.2583333333333336E-3</v>
      </c>
      <c r="H601" s="8">
        <f t="shared" si="85"/>
        <v>-103.58</v>
      </c>
      <c r="I601" s="8">
        <f t="shared" si="86"/>
        <v>-103.58</v>
      </c>
    </row>
    <row r="602" spans="1:9" x14ac:dyDescent="0.2">
      <c r="A602" s="208" t="s">
        <v>602</v>
      </c>
      <c r="B602" s="155" t="s">
        <v>247</v>
      </c>
      <c r="C602" s="6" t="s">
        <v>328</v>
      </c>
      <c r="D602" s="202">
        <v>41091</v>
      </c>
      <c r="E602" s="243">
        <v>83.72</v>
      </c>
      <c r="F602" s="17">
        <f t="shared" si="80"/>
        <v>12</v>
      </c>
      <c r="G602" s="236">
        <f t="shared" si="87"/>
        <v>3.2583333333333336E-3</v>
      </c>
      <c r="H602" s="8">
        <f t="shared" si="85"/>
        <v>3.27</v>
      </c>
      <c r="I602" s="8">
        <f t="shared" si="86"/>
        <v>3.27</v>
      </c>
    </row>
    <row r="603" spans="1:9" x14ac:dyDescent="0.2">
      <c r="A603" s="208" t="s">
        <v>602</v>
      </c>
      <c r="B603" s="155" t="s">
        <v>248</v>
      </c>
      <c r="C603" s="6" t="s">
        <v>330</v>
      </c>
      <c r="D603" s="202">
        <v>41061</v>
      </c>
      <c r="E603" s="243">
        <v>4291.05</v>
      </c>
      <c r="F603" s="17">
        <f t="shared" si="80"/>
        <v>12</v>
      </c>
      <c r="G603" s="236">
        <f t="shared" si="87"/>
        <v>3.2583333333333336E-3</v>
      </c>
      <c r="H603" s="8">
        <f t="shared" si="85"/>
        <v>167.78</v>
      </c>
      <c r="I603" s="8">
        <f t="shared" si="86"/>
        <v>167.78</v>
      </c>
    </row>
    <row r="604" spans="1:9" x14ac:dyDescent="0.2">
      <c r="A604" s="208" t="s">
        <v>602</v>
      </c>
      <c r="B604" s="155" t="s">
        <v>248</v>
      </c>
      <c r="C604" s="6" t="s">
        <v>330</v>
      </c>
      <c r="D604" s="202">
        <v>41091</v>
      </c>
      <c r="E604" s="243">
        <v>3543.7</v>
      </c>
      <c r="F604" s="17">
        <f t="shared" si="80"/>
        <v>12</v>
      </c>
      <c r="G604" s="236">
        <f t="shared" si="87"/>
        <v>3.2583333333333336E-3</v>
      </c>
      <c r="H604" s="8">
        <f t="shared" si="85"/>
        <v>138.56</v>
      </c>
      <c r="I604" s="8">
        <f t="shared" si="86"/>
        <v>138.56</v>
      </c>
    </row>
    <row r="605" spans="1:9" x14ac:dyDescent="0.2">
      <c r="A605" s="208" t="s">
        <v>602</v>
      </c>
      <c r="B605" s="155" t="s">
        <v>250</v>
      </c>
      <c r="C605" s="6" t="s">
        <v>332</v>
      </c>
      <c r="D605" s="202">
        <v>41061</v>
      </c>
      <c r="E605" s="243">
        <v>1289.45</v>
      </c>
      <c r="F605" s="17">
        <f t="shared" si="80"/>
        <v>12</v>
      </c>
      <c r="G605" s="236">
        <f t="shared" si="87"/>
        <v>3.2583333333333336E-3</v>
      </c>
      <c r="H605" s="8">
        <f t="shared" si="85"/>
        <v>50.42</v>
      </c>
      <c r="I605" s="8">
        <f t="shared" si="86"/>
        <v>50.42</v>
      </c>
    </row>
    <row r="606" spans="1:9" x14ac:dyDescent="0.2">
      <c r="A606" s="208" t="s">
        <v>602</v>
      </c>
      <c r="B606" s="155" t="s">
        <v>250</v>
      </c>
      <c r="C606" s="6" t="s">
        <v>332</v>
      </c>
      <c r="D606" s="202">
        <v>41091</v>
      </c>
      <c r="E606" s="243">
        <v>1600.76</v>
      </c>
      <c r="F606" s="17">
        <f t="shared" si="80"/>
        <v>12</v>
      </c>
      <c r="G606" s="236">
        <f t="shared" si="87"/>
        <v>3.2583333333333336E-3</v>
      </c>
      <c r="H606" s="8">
        <f t="shared" si="85"/>
        <v>62.59</v>
      </c>
      <c r="I606" s="8">
        <f t="shared" si="86"/>
        <v>62.59</v>
      </c>
    </row>
    <row r="607" spans="1:9" x14ac:dyDescent="0.2">
      <c r="A607" s="208" t="s">
        <v>603</v>
      </c>
      <c r="B607" s="155" t="s">
        <v>251</v>
      </c>
      <c r="C607" s="6" t="s">
        <v>302</v>
      </c>
      <c r="D607" s="202">
        <v>41061</v>
      </c>
      <c r="E607" s="243">
        <v>4435.18</v>
      </c>
      <c r="F607" s="17">
        <f t="shared" si="80"/>
        <v>12</v>
      </c>
      <c r="G607" s="236">
        <f t="shared" ref="G607:G613" si="88">0.0324/12</f>
        <v>2.6999999999999997E-3</v>
      </c>
      <c r="H607" s="8">
        <f t="shared" si="85"/>
        <v>143.69999999999999</v>
      </c>
      <c r="I607" s="8">
        <f t="shared" si="86"/>
        <v>143.69999999999999</v>
      </c>
    </row>
    <row r="608" spans="1:9" x14ac:dyDescent="0.2">
      <c r="A608" s="208" t="s">
        <v>603</v>
      </c>
      <c r="B608" s="155" t="s">
        <v>252</v>
      </c>
      <c r="C608" s="6" t="s">
        <v>304</v>
      </c>
      <c r="D608" s="202">
        <v>41061</v>
      </c>
      <c r="E608" s="243">
        <v>1627.38</v>
      </c>
      <c r="F608" s="17">
        <f t="shared" si="80"/>
        <v>12</v>
      </c>
      <c r="G608" s="236">
        <f t="shared" si="88"/>
        <v>2.6999999999999997E-3</v>
      </c>
      <c r="H608" s="8">
        <f t="shared" si="85"/>
        <v>52.73</v>
      </c>
      <c r="I608" s="8">
        <f t="shared" si="86"/>
        <v>52.73</v>
      </c>
    </row>
    <row r="609" spans="1:9" x14ac:dyDescent="0.2">
      <c r="A609" s="208" t="s">
        <v>603</v>
      </c>
      <c r="B609" s="155" t="s">
        <v>252</v>
      </c>
      <c r="C609" s="6" t="s">
        <v>304</v>
      </c>
      <c r="D609" s="202">
        <v>41091</v>
      </c>
      <c r="E609" s="243">
        <v>85.42</v>
      </c>
      <c r="F609" s="17">
        <f t="shared" si="80"/>
        <v>12</v>
      </c>
      <c r="G609" s="236">
        <f t="shared" si="88"/>
        <v>2.6999999999999997E-3</v>
      </c>
      <c r="H609" s="8">
        <f t="shared" si="85"/>
        <v>2.77</v>
      </c>
      <c r="I609" s="8">
        <f t="shared" si="86"/>
        <v>2.77</v>
      </c>
    </row>
    <row r="610" spans="1:9" x14ac:dyDescent="0.2">
      <c r="A610" s="208" t="s">
        <v>603</v>
      </c>
      <c r="B610" s="155" t="s">
        <v>253</v>
      </c>
      <c r="C610" s="6" t="s">
        <v>306</v>
      </c>
      <c r="D610" s="202">
        <v>41061</v>
      </c>
      <c r="E610" s="243">
        <v>109.15</v>
      </c>
      <c r="F610" s="17">
        <f t="shared" si="80"/>
        <v>12</v>
      </c>
      <c r="G610" s="236">
        <f t="shared" si="88"/>
        <v>2.6999999999999997E-3</v>
      </c>
      <c r="H610" s="8">
        <f t="shared" si="85"/>
        <v>3.54</v>
      </c>
      <c r="I610" s="8">
        <f t="shared" si="86"/>
        <v>3.54</v>
      </c>
    </row>
    <row r="611" spans="1:9" x14ac:dyDescent="0.2">
      <c r="A611" s="208" t="s">
        <v>603</v>
      </c>
      <c r="B611" s="155" t="s">
        <v>253</v>
      </c>
      <c r="C611" s="6" t="s">
        <v>306</v>
      </c>
      <c r="D611" s="202">
        <v>41091</v>
      </c>
      <c r="E611" s="243">
        <v>12323.04</v>
      </c>
      <c r="F611" s="17">
        <f t="shared" si="80"/>
        <v>12</v>
      </c>
      <c r="G611" s="236">
        <f t="shared" si="88"/>
        <v>2.6999999999999997E-3</v>
      </c>
      <c r="H611" s="8">
        <f t="shared" si="85"/>
        <v>399.27</v>
      </c>
      <c r="I611" s="8">
        <f t="shared" si="86"/>
        <v>399.27</v>
      </c>
    </row>
    <row r="612" spans="1:9" x14ac:dyDescent="0.2">
      <c r="A612" s="208" t="s">
        <v>603</v>
      </c>
      <c r="B612" s="155" t="s">
        <v>254</v>
      </c>
      <c r="C612" s="6" t="s">
        <v>336</v>
      </c>
      <c r="D612" s="202">
        <v>41061</v>
      </c>
      <c r="E612" s="243">
        <v>1.26</v>
      </c>
      <c r="F612" s="17">
        <f t="shared" si="80"/>
        <v>12</v>
      </c>
      <c r="G612" s="236">
        <f t="shared" si="88"/>
        <v>2.6999999999999997E-3</v>
      </c>
      <c r="H612" s="8">
        <f t="shared" si="85"/>
        <v>0.04</v>
      </c>
      <c r="I612" s="8">
        <f t="shared" si="86"/>
        <v>0.04</v>
      </c>
    </row>
    <row r="613" spans="1:9" x14ac:dyDescent="0.2">
      <c r="A613" s="208" t="s">
        <v>603</v>
      </c>
      <c r="B613" s="155" t="s">
        <v>255</v>
      </c>
      <c r="C613" s="6" t="s">
        <v>338</v>
      </c>
      <c r="D613" s="202">
        <v>41061</v>
      </c>
      <c r="E613" s="243">
        <v>196.28</v>
      </c>
      <c r="F613" s="17">
        <f t="shared" si="80"/>
        <v>12</v>
      </c>
      <c r="G613" s="236">
        <f t="shared" si="88"/>
        <v>2.6999999999999997E-3</v>
      </c>
      <c r="H613" s="8">
        <f t="shared" si="85"/>
        <v>6.36</v>
      </c>
      <c r="I613" s="8">
        <f t="shared" si="86"/>
        <v>6.36</v>
      </c>
    </row>
    <row r="614" spans="1:9" x14ac:dyDescent="0.2">
      <c r="A614" s="208" t="s">
        <v>601</v>
      </c>
      <c r="B614" s="155" t="s">
        <v>213</v>
      </c>
      <c r="C614" s="6" t="s">
        <v>285</v>
      </c>
      <c r="D614" s="202">
        <v>41122</v>
      </c>
      <c r="E614" s="243">
        <v>21.87</v>
      </c>
      <c r="F614" s="17">
        <f t="shared" si="80"/>
        <v>12</v>
      </c>
      <c r="G614" s="236">
        <f t="shared" si="81"/>
        <v>2.0999999999999999E-3</v>
      </c>
      <c r="H614" s="8">
        <f t="shared" si="85"/>
        <v>0.55000000000000004</v>
      </c>
      <c r="I614" s="8">
        <f t="shared" si="86"/>
        <v>0.55000000000000004</v>
      </c>
    </row>
    <row r="615" spans="1:9" x14ac:dyDescent="0.2">
      <c r="A615" s="208" t="s">
        <v>601</v>
      </c>
      <c r="B615" s="155" t="s">
        <v>213</v>
      </c>
      <c r="C615" s="6" t="s">
        <v>285</v>
      </c>
      <c r="D615" s="202">
        <v>41153</v>
      </c>
      <c r="E615" s="243">
        <v>64.83</v>
      </c>
      <c r="F615" s="17">
        <f t="shared" si="80"/>
        <v>12</v>
      </c>
      <c r="G615" s="236">
        <f t="shared" si="81"/>
        <v>2.0999999999999999E-3</v>
      </c>
      <c r="H615" s="8">
        <f t="shared" si="85"/>
        <v>1.63</v>
      </c>
      <c r="I615" s="8">
        <f t="shared" si="86"/>
        <v>1.63</v>
      </c>
    </row>
    <row r="616" spans="1:9" x14ac:dyDescent="0.2">
      <c r="A616" s="208" t="s">
        <v>601</v>
      </c>
      <c r="B616" s="155" t="s">
        <v>213</v>
      </c>
      <c r="C616" s="6" t="s">
        <v>285</v>
      </c>
      <c r="D616" s="202">
        <v>41183</v>
      </c>
      <c r="E616" s="8">
        <v>75.100000000000009</v>
      </c>
      <c r="F616" s="17">
        <f t="shared" si="80"/>
        <v>12</v>
      </c>
      <c r="G616" s="236">
        <f t="shared" si="81"/>
        <v>2.0999999999999999E-3</v>
      </c>
      <c r="H616" s="8">
        <f t="shared" si="85"/>
        <v>1.89</v>
      </c>
      <c r="I616" s="8">
        <f t="shared" si="86"/>
        <v>1.89</v>
      </c>
    </row>
    <row r="617" spans="1:9" x14ac:dyDescent="0.2">
      <c r="A617" s="208" t="s">
        <v>601</v>
      </c>
      <c r="B617" s="155" t="s">
        <v>245</v>
      </c>
      <c r="C617" s="6" t="s">
        <v>295</v>
      </c>
      <c r="D617" s="202">
        <v>41122</v>
      </c>
      <c r="E617" s="8">
        <v>746.49</v>
      </c>
      <c r="F617" s="17">
        <f t="shared" si="80"/>
        <v>12</v>
      </c>
      <c r="G617" s="236">
        <f t="shared" si="81"/>
        <v>2.0999999999999999E-3</v>
      </c>
      <c r="H617" s="8">
        <f t="shared" si="85"/>
        <v>18.809999999999999</v>
      </c>
      <c r="I617" s="8">
        <f t="shared" si="86"/>
        <v>18.809999999999999</v>
      </c>
    </row>
    <row r="618" spans="1:9" x14ac:dyDescent="0.2">
      <c r="A618" s="208" t="s">
        <v>601</v>
      </c>
      <c r="B618" s="155" t="s">
        <v>245</v>
      </c>
      <c r="C618" s="6" t="s">
        <v>295</v>
      </c>
      <c r="D618" s="202">
        <v>41153</v>
      </c>
      <c r="E618" s="8">
        <v>1859.33</v>
      </c>
      <c r="F618" s="17">
        <f t="shared" si="80"/>
        <v>12</v>
      </c>
      <c r="G618" s="236">
        <f t="shared" si="81"/>
        <v>2.0999999999999999E-3</v>
      </c>
      <c r="H618" s="8">
        <f t="shared" si="85"/>
        <v>46.86</v>
      </c>
      <c r="I618" s="8">
        <f t="shared" si="86"/>
        <v>46.86</v>
      </c>
    </row>
    <row r="619" spans="1:9" x14ac:dyDescent="0.2">
      <c r="A619" s="208" t="s">
        <v>601</v>
      </c>
      <c r="B619" s="155" t="s">
        <v>245</v>
      </c>
      <c r="C619" s="6" t="s">
        <v>295</v>
      </c>
      <c r="D619" s="202">
        <v>41183</v>
      </c>
      <c r="E619" s="8">
        <v>979.53</v>
      </c>
      <c r="F619" s="17">
        <f t="shared" si="80"/>
        <v>12</v>
      </c>
      <c r="G619" s="236">
        <f t="shared" si="81"/>
        <v>2.0999999999999999E-3</v>
      </c>
      <c r="H619" s="8">
        <f t="shared" si="85"/>
        <v>24.68</v>
      </c>
      <c r="I619" s="8">
        <f t="shared" si="86"/>
        <v>24.68</v>
      </c>
    </row>
    <row r="620" spans="1:9" x14ac:dyDescent="0.2">
      <c r="A620" s="208" t="s">
        <v>601</v>
      </c>
      <c r="B620" s="155" t="s">
        <v>246</v>
      </c>
      <c r="C620" s="6" t="s">
        <v>299</v>
      </c>
      <c r="D620" s="202">
        <v>41122</v>
      </c>
      <c r="E620" s="8">
        <v>278.2</v>
      </c>
      <c r="F620" s="17">
        <f t="shared" si="80"/>
        <v>12</v>
      </c>
      <c r="G620" s="236">
        <f t="shared" si="81"/>
        <v>2.0999999999999999E-3</v>
      </c>
      <c r="H620" s="8">
        <f t="shared" si="85"/>
        <v>7.01</v>
      </c>
      <c r="I620" s="8">
        <f t="shared" si="86"/>
        <v>7.01</v>
      </c>
    </row>
    <row r="621" spans="1:9" x14ac:dyDescent="0.2">
      <c r="A621" s="208" t="s">
        <v>601</v>
      </c>
      <c r="B621" s="155" t="s">
        <v>246</v>
      </c>
      <c r="C621" s="6" t="s">
        <v>299</v>
      </c>
      <c r="D621" s="202">
        <v>41153</v>
      </c>
      <c r="E621" s="8">
        <v>907.02</v>
      </c>
      <c r="F621" s="17">
        <f t="shared" si="80"/>
        <v>12</v>
      </c>
      <c r="G621" s="236">
        <f t="shared" si="81"/>
        <v>2.0999999999999999E-3</v>
      </c>
      <c r="H621" s="8">
        <f t="shared" si="85"/>
        <v>22.86</v>
      </c>
      <c r="I621" s="8">
        <f t="shared" si="86"/>
        <v>22.86</v>
      </c>
    </row>
    <row r="622" spans="1:9" x14ac:dyDescent="0.2">
      <c r="A622" s="208" t="s">
        <v>601</v>
      </c>
      <c r="B622" s="155" t="s">
        <v>246</v>
      </c>
      <c r="C622" s="6" t="s">
        <v>299</v>
      </c>
      <c r="D622" s="202">
        <v>41183</v>
      </c>
      <c r="E622" s="243">
        <v>1556.49</v>
      </c>
      <c r="F622" s="17">
        <f t="shared" si="80"/>
        <v>12</v>
      </c>
      <c r="G622" s="236">
        <f t="shared" si="81"/>
        <v>2.0999999999999999E-3</v>
      </c>
      <c r="H622" s="8">
        <f t="shared" si="85"/>
        <v>39.22</v>
      </c>
      <c r="I622" s="8">
        <f t="shared" si="86"/>
        <v>39.22</v>
      </c>
    </row>
    <row r="623" spans="1:9" x14ac:dyDescent="0.2">
      <c r="A623" s="208" t="s">
        <v>601</v>
      </c>
      <c r="B623" s="155" t="s">
        <v>247</v>
      </c>
      <c r="C623" s="6" t="s">
        <v>328</v>
      </c>
      <c r="D623" s="202">
        <v>41122</v>
      </c>
      <c r="E623" s="243">
        <v>816.46</v>
      </c>
      <c r="F623" s="17">
        <f t="shared" si="80"/>
        <v>12</v>
      </c>
      <c r="G623" s="236">
        <f t="shared" si="81"/>
        <v>2.0999999999999999E-3</v>
      </c>
      <c r="H623" s="8">
        <f t="shared" si="85"/>
        <v>20.57</v>
      </c>
      <c r="I623" s="8">
        <f t="shared" si="86"/>
        <v>20.57</v>
      </c>
    </row>
    <row r="624" spans="1:9" x14ac:dyDescent="0.2">
      <c r="A624" s="208" t="s">
        <v>601</v>
      </c>
      <c r="B624" s="155" t="s">
        <v>247</v>
      </c>
      <c r="C624" s="6" t="s">
        <v>328</v>
      </c>
      <c r="D624" s="202">
        <v>41153</v>
      </c>
      <c r="E624" s="243">
        <v>5589.41</v>
      </c>
      <c r="F624" s="17">
        <f t="shared" si="80"/>
        <v>12</v>
      </c>
      <c r="G624" s="236">
        <f t="shared" si="81"/>
        <v>2.0999999999999999E-3</v>
      </c>
      <c r="H624" s="8">
        <f t="shared" si="85"/>
        <v>140.85</v>
      </c>
      <c r="I624" s="8">
        <f t="shared" si="86"/>
        <v>140.85</v>
      </c>
    </row>
    <row r="625" spans="1:9" x14ac:dyDescent="0.2">
      <c r="A625" s="208" t="s">
        <v>601</v>
      </c>
      <c r="B625" s="155" t="s">
        <v>247</v>
      </c>
      <c r="C625" s="6" t="s">
        <v>328</v>
      </c>
      <c r="D625" s="202">
        <v>41153</v>
      </c>
      <c r="E625" s="243">
        <v>-2397.85</v>
      </c>
      <c r="F625" s="17">
        <f t="shared" si="80"/>
        <v>12</v>
      </c>
      <c r="G625" s="236">
        <f t="shared" si="81"/>
        <v>2.0999999999999999E-3</v>
      </c>
      <c r="H625" s="8">
        <f t="shared" si="85"/>
        <v>-60.43</v>
      </c>
      <c r="I625" s="8">
        <f t="shared" si="86"/>
        <v>-60.43</v>
      </c>
    </row>
    <row r="626" spans="1:9" x14ac:dyDescent="0.2">
      <c r="A626" s="208" t="s">
        <v>601</v>
      </c>
      <c r="B626" s="155" t="s">
        <v>247</v>
      </c>
      <c r="C626" s="6" t="s">
        <v>328</v>
      </c>
      <c r="D626" s="202">
        <v>41183</v>
      </c>
      <c r="E626" s="8">
        <v>1386.77</v>
      </c>
      <c r="F626" s="17">
        <f t="shared" si="80"/>
        <v>12</v>
      </c>
      <c r="G626" s="236">
        <f t="shared" si="81"/>
        <v>2.0999999999999999E-3</v>
      </c>
      <c r="H626" s="8">
        <f t="shared" si="85"/>
        <v>34.950000000000003</v>
      </c>
      <c r="I626" s="8">
        <f t="shared" si="86"/>
        <v>34.950000000000003</v>
      </c>
    </row>
    <row r="627" spans="1:9" x14ac:dyDescent="0.2">
      <c r="A627" s="203" t="s">
        <v>601</v>
      </c>
      <c r="B627" s="6" t="s">
        <v>248</v>
      </c>
      <c r="C627" s="6" t="s">
        <v>330</v>
      </c>
      <c r="D627" s="202">
        <v>41122</v>
      </c>
      <c r="E627" s="8">
        <v>-2.65</v>
      </c>
      <c r="F627" s="17">
        <f t="shared" si="80"/>
        <v>12</v>
      </c>
      <c r="G627" s="236">
        <f t="shared" si="81"/>
        <v>2.0999999999999999E-3</v>
      </c>
      <c r="H627" s="8">
        <f t="shared" ref="H627:H654" si="89">ROUND(E627*F627*G627,2)</f>
        <v>-7.0000000000000007E-2</v>
      </c>
      <c r="I627" s="8">
        <f t="shared" ref="I627:I654" si="90">ROUND(E627*G627*12,2)</f>
        <v>-7.0000000000000007E-2</v>
      </c>
    </row>
    <row r="628" spans="1:9" x14ac:dyDescent="0.2">
      <c r="A628" s="203" t="s">
        <v>601</v>
      </c>
      <c r="B628" s="6" t="s">
        <v>248</v>
      </c>
      <c r="C628" s="6" t="s">
        <v>330</v>
      </c>
      <c r="D628" s="202">
        <v>41153</v>
      </c>
      <c r="E628" s="8">
        <v>132.26</v>
      </c>
      <c r="F628" s="17">
        <f t="shared" si="80"/>
        <v>12</v>
      </c>
      <c r="G628" s="236">
        <f t="shared" si="81"/>
        <v>2.0999999999999999E-3</v>
      </c>
      <c r="H628" s="8">
        <f t="shared" si="89"/>
        <v>3.33</v>
      </c>
      <c r="I628" s="8">
        <f t="shared" si="90"/>
        <v>3.33</v>
      </c>
    </row>
    <row r="629" spans="1:9" x14ac:dyDescent="0.2">
      <c r="A629" s="203" t="s">
        <v>601</v>
      </c>
      <c r="B629" s="6" t="s">
        <v>248</v>
      </c>
      <c r="C629" s="6" t="s">
        <v>330</v>
      </c>
      <c r="D629" s="202">
        <v>41183</v>
      </c>
      <c r="E629" s="8">
        <v>509.66</v>
      </c>
      <c r="F629" s="17">
        <f t="shared" si="80"/>
        <v>12</v>
      </c>
      <c r="G629" s="236">
        <f t="shared" si="81"/>
        <v>2.0999999999999999E-3</v>
      </c>
      <c r="H629" s="8">
        <f t="shared" si="89"/>
        <v>12.84</v>
      </c>
      <c r="I629" s="8">
        <f t="shared" si="90"/>
        <v>12.84</v>
      </c>
    </row>
    <row r="630" spans="1:9" x14ac:dyDescent="0.2">
      <c r="A630" s="203" t="s">
        <v>602</v>
      </c>
      <c r="B630" s="6" t="s">
        <v>204</v>
      </c>
      <c r="C630" s="6" t="s">
        <v>276</v>
      </c>
      <c r="D630" s="202">
        <v>41153</v>
      </c>
      <c r="E630" s="8">
        <v>419.31</v>
      </c>
      <c r="F630" s="17">
        <f t="shared" si="80"/>
        <v>12</v>
      </c>
      <c r="G630" s="236">
        <f t="shared" ref="G630:G649" si="91">0.0391/12</f>
        <v>3.2583333333333336E-3</v>
      </c>
      <c r="H630" s="8">
        <f t="shared" si="89"/>
        <v>16.399999999999999</v>
      </c>
      <c r="I630" s="8">
        <f t="shared" si="90"/>
        <v>16.399999999999999</v>
      </c>
    </row>
    <row r="631" spans="1:9" x14ac:dyDescent="0.2">
      <c r="A631" s="203" t="s">
        <v>602</v>
      </c>
      <c r="B631" s="6" t="s">
        <v>245</v>
      </c>
      <c r="C631" s="6" t="s">
        <v>295</v>
      </c>
      <c r="D631" s="202">
        <v>41122</v>
      </c>
      <c r="E631" s="8">
        <v>734.80000000000007</v>
      </c>
      <c r="F631" s="17">
        <f t="shared" si="80"/>
        <v>12</v>
      </c>
      <c r="G631" s="236">
        <f t="shared" si="91"/>
        <v>3.2583333333333336E-3</v>
      </c>
      <c r="H631" s="8">
        <f t="shared" si="89"/>
        <v>28.73</v>
      </c>
      <c r="I631" s="8">
        <f t="shared" si="90"/>
        <v>28.73</v>
      </c>
    </row>
    <row r="632" spans="1:9" x14ac:dyDescent="0.2">
      <c r="A632" s="203" t="s">
        <v>602</v>
      </c>
      <c r="B632" s="6" t="s">
        <v>245</v>
      </c>
      <c r="C632" s="6" t="s">
        <v>295</v>
      </c>
      <c r="D632" s="202">
        <v>41153</v>
      </c>
      <c r="E632" s="8">
        <v>1830.17</v>
      </c>
      <c r="F632" s="17">
        <f t="shared" si="80"/>
        <v>12</v>
      </c>
      <c r="G632" s="236">
        <f t="shared" si="91"/>
        <v>3.2583333333333336E-3</v>
      </c>
      <c r="H632" s="8">
        <f t="shared" si="89"/>
        <v>71.56</v>
      </c>
      <c r="I632" s="8">
        <f t="shared" si="90"/>
        <v>71.56</v>
      </c>
    </row>
    <row r="633" spans="1:9" x14ac:dyDescent="0.2">
      <c r="A633" s="203" t="s">
        <v>602</v>
      </c>
      <c r="B633" s="6" t="s">
        <v>245</v>
      </c>
      <c r="C633" s="6" t="s">
        <v>295</v>
      </c>
      <c r="D633" s="202">
        <v>41183</v>
      </c>
      <c r="E633" s="8">
        <v>964.18000000000006</v>
      </c>
      <c r="F633" s="17">
        <f t="shared" si="80"/>
        <v>12</v>
      </c>
      <c r="G633" s="236">
        <f t="shared" si="91"/>
        <v>3.2583333333333336E-3</v>
      </c>
      <c r="H633" s="8">
        <f t="shared" si="89"/>
        <v>37.700000000000003</v>
      </c>
      <c r="I633" s="8">
        <f t="shared" si="90"/>
        <v>37.700000000000003</v>
      </c>
    </row>
    <row r="634" spans="1:9" x14ac:dyDescent="0.2">
      <c r="A634" s="203" t="s">
        <v>602</v>
      </c>
      <c r="B634" s="6" t="s">
        <v>249</v>
      </c>
      <c r="C634" s="6" t="s">
        <v>297</v>
      </c>
      <c r="D634" s="202">
        <v>41122</v>
      </c>
      <c r="E634" s="8">
        <v>2169.35</v>
      </c>
      <c r="F634" s="17">
        <f t="shared" si="80"/>
        <v>12</v>
      </c>
      <c r="G634" s="236">
        <f t="shared" si="91"/>
        <v>3.2583333333333336E-3</v>
      </c>
      <c r="H634" s="8">
        <f t="shared" si="89"/>
        <v>84.82</v>
      </c>
      <c r="I634" s="8">
        <f t="shared" si="90"/>
        <v>84.82</v>
      </c>
    </row>
    <row r="635" spans="1:9" x14ac:dyDescent="0.2">
      <c r="A635" s="203" t="s">
        <v>602</v>
      </c>
      <c r="B635" s="6" t="s">
        <v>249</v>
      </c>
      <c r="C635" s="6" t="s">
        <v>297</v>
      </c>
      <c r="D635" s="202">
        <v>41153</v>
      </c>
      <c r="E635" s="8">
        <v>1784.42</v>
      </c>
      <c r="F635" s="17">
        <f t="shared" si="80"/>
        <v>12</v>
      </c>
      <c r="G635" s="236">
        <f t="shared" si="91"/>
        <v>3.2583333333333336E-3</v>
      </c>
      <c r="H635" s="8">
        <f t="shared" si="89"/>
        <v>69.77</v>
      </c>
      <c r="I635" s="8">
        <f t="shared" si="90"/>
        <v>69.77</v>
      </c>
    </row>
    <row r="636" spans="1:9" x14ac:dyDescent="0.2">
      <c r="A636" s="203" t="s">
        <v>602</v>
      </c>
      <c r="B636" s="6" t="s">
        <v>249</v>
      </c>
      <c r="C636" s="6" t="s">
        <v>297</v>
      </c>
      <c r="D636" s="202">
        <v>41183</v>
      </c>
      <c r="E636" s="8">
        <v>3348.09</v>
      </c>
      <c r="F636" s="17">
        <f t="shared" si="80"/>
        <v>12</v>
      </c>
      <c r="G636" s="236">
        <f t="shared" si="91"/>
        <v>3.2583333333333336E-3</v>
      </c>
      <c r="H636" s="8">
        <f t="shared" si="89"/>
        <v>130.91</v>
      </c>
      <c r="I636" s="8">
        <f t="shared" si="90"/>
        <v>130.91</v>
      </c>
    </row>
    <row r="637" spans="1:9" x14ac:dyDescent="0.2">
      <c r="A637" s="203" t="s">
        <v>602</v>
      </c>
      <c r="B637" s="6" t="s">
        <v>246</v>
      </c>
      <c r="C637" s="6" t="s">
        <v>299</v>
      </c>
      <c r="D637" s="202">
        <v>41122</v>
      </c>
      <c r="E637" s="8">
        <v>1802.3700000000001</v>
      </c>
      <c r="F637" s="17">
        <f t="shared" si="80"/>
        <v>12</v>
      </c>
      <c r="G637" s="236">
        <f t="shared" si="91"/>
        <v>3.2583333333333336E-3</v>
      </c>
      <c r="H637" s="8">
        <f t="shared" si="89"/>
        <v>70.47</v>
      </c>
      <c r="I637" s="8">
        <f t="shared" si="90"/>
        <v>70.47</v>
      </c>
    </row>
    <row r="638" spans="1:9" x14ac:dyDescent="0.2">
      <c r="A638" s="203" t="s">
        <v>602</v>
      </c>
      <c r="B638" s="6" t="s">
        <v>246</v>
      </c>
      <c r="C638" s="6" t="s">
        <v>299</v>
      </c>
      <c r="D638" s="202">
        <v>41153</v>
      </c>
      <c r="E638" s="8">
        <v>5161.37</v>
      </c>
      <c r="F638" s="17">
        <f t="shared" si="80"/>
        <v>12</v>
      </c>
      <c r="G638" s="236">
        <f t="shared" si="91"/>
        <v>3.2583333333333336E-3</v>
      </c>
      <c r="H638" s="8">
        <f t="shared" si="89"/>
        <v>201.81</v>
      </c>
      <c r="I638" s="8">
        <f t="shared" si="90"/>
        <v>201.81</v>
      </c>
    </row>
    <row r="639" spans="1:9" x14ac:dyDescent="0.2">
      <c r="A639" s="203" t="s">
        <v>602</v>
      </c>
      <c r="B639" s="6" t="s">
        <v>246</v>
      </c>
      <c r="C639" s="6" t="s">
        <v>299</v>
      </c>
      <c r="D639" s="202">
        <v>41183</v>
      </c>
      <c r="E639" s="8">
        <v>9962.8000000000011</v>
      </c>
      <c r="F639" s="17">
        <f t="shared" si="80"/>
        <v>12</v>
      </c>
      <c r="G639" s="236">
        <f t="shared" si="91"/>
        <v>3.2583333333333336E-3</v>
      </c>
      <c r="H639" s="8">
        <f t="shared" si="89"/>
        <v>389.55</v>
      </c>
      <c r="I639" s="8">
        <f t="shared" si="90"/>
        <v>389.55</v>
      </c>
    </row>
    <row r="640" spans="1:9" x14ac:dyDescent="0.2">
      <c r="A640" s="203" t="s">
        <v>602</v>
      </c>
      <c r="B640" s="6" t="s">
        <v>247</v>
      </c>
      <c r="C640" s="6" t="s">
        <v>328</v>
      </c>
      <c r="D640" s="202">
        <v>41122</v>
      </c>
      <c r="E640" s="8">
        <v>2733.4700000000003</v>
      </c>
      <c r="F640" s="17">
        <f t="shared" si="80"/>
        <v>12</v>
      </c>
      <c r="G640" s="236">
        <f t="shared" si="91"/>
        <v>3.2583333333333336E-3</v>
      </c>
      <c r="H640" s="8">
        <f t="shared" si="89"/>
        <v>106.88</v>
      </c>
      <c r="I640" s="8">
        <f t="shared" si="90"/>
        <v>106.88</v>
      </c>
    </row>
    <row r="641" spans="1:9" x14ac:dyDescent="0.2">
      <c r="A641" s="203" t="s">
        <v>602</v>
      </c>
      <c r="B641" s="6" t="s">
        <v>247</v>
      </c>
      <c r="C641" s="6" t="s">
        <v>328</v>
      </c>
      <c r="D641" s="202">
        <v>41153</v>
      </c>
      <c r="E641" s="8">
        <v>6163.2</v>
      </c>
      <c r="F641" s="17">
        <f t="shared" si="80"/>
        <v>12</v>
      </c>
      <c r="G641" s="236">
        <f t="shared" si="91"/>
        <v>3.2583333333333336E-3</v>
      </c>
      <c r="H641" s="8">
        <f t="shared" si="89"/>
        <v>240.98</v>
      </c>
      <c r="I641" s="8">
        <f t="shared" si="90"/>
        <v>240.98</v>
      </c>
    </row>
    <row r="642" spans="1:9" x14ac:dyDescent="0.2">
      <c r="A642" s="203" t="s">
        <v>602</v>
      </c>
      <c r="B642" s="6" t="s">
        <v>247</v>
      </c>
      <c r="C642" s="6" t="s">
        <v>328</v>
      </c>
      <c r="D642" s="202">
        <v>41153</v>
      </c>
      <c r="E642" s="8">
        <v>-8027.84</v>
      </c>
      <c r="F642" s="17">
        <f t="shared" si="80"/>
        <v>12</v>
      </c>
      <c r="G642" s="236">
        <f t="shared" si="91"/>
        <v>3.2583333333333336E-3</v>
      </c>
      <c r="H642" s="8">
        <f t="shared" si="89"/>
        <v>-313.89</v>
      </c>
      <c r="I642" s="8">
        <f t="shared" si="90"/>
        <v>-313.89</v>
      </c>
    </row>
    <row r="643" spans="1:9" x14ac:dyDescent="0.2">
      <c r="A643" s="203" t="s">
        <v>602</v>
      </c>
      <c r="B643" s="6" t="s">
        <v>247</v>
      </c>
      <c r="C643" s="6" t="s">
        <v>328</v>
      </c>
      <c r="D643" s="202">
        <v>41183</v>
      </c>
      <c r="E643" s="8">
        <v>1386.8</v>
      </c>
      <c r="F643" s="17">
        <f t="shared" si="80"/>
        <v>12</v>
      </c>
      <c r="G643" s="236">
        <f t="shared" si="91"/>
        <v>3.2583333333333336E-3</v>
      </c>
      <c r="H643" s="8">
        <f t="shared" si="89"/>
        <v>54.22</v>
      </c>
      <c r="I643" s="8">
        <f t="shared" si="90"/>
        <v>54.22</v>
      </c>
    </row>
    <row r="644" spans="1:9" x14ac:dyDescent="0.2">
      <c r="A644" s="203" t="s">
        <v>602</v>
      </c>
      <c r="B644" s="6" t="s">
        <v>248</v>
      </c>
      <c r="C644" s="6" t="s">
        <v>330</v>
      </c>
      <c r="D644" s="202">
        <v>41122</v>
      </c>
      <c r="E644" s="8">
        <v>-8.9</v>
      </c>
      <c r="F644" s="17">
        <f t="shared" si="80"/>
        <v>12</v>
      </c>
      <c r="G644" s="236">
        <f t="shared" si="91"/>
        <v>3.2583333333333336E-3</v>
      </c>
      <c r="H644" s="8">
        <f t="shared" si="89"/>
        <v>-0.35</v>
      </c>
      <c r="I644" s="8">
        <f t="shared" si="90"/>
        <v>-0.35</v>
      </c>
    </row>
    <row r="645" spans="1:9" x14ac:dyDescent="0.2">
      <c r="A645" s="203" t="s">
        <v>602</v>
      </c>
      <c r="B645" s="6" t="s">
        <v>248</v>
      </c>
      <c r="C645" s="6" t="s">
        <v>330</v>
      </c>
      <c r="D645" s="202">
        <v>41153</v>
      </c>
      <c r="E645" s="8">
        <v>442.42</v>
      </c>
      <c r="F645" s="17">
        <f t="shared" si="80"/>
        <v>12</v>
      </c>
      <c r="G645" s="236">
        <f t="shared" si="91"/>
        <v>3.2583333333333336E-3</v>
      </c>
      <c r="H645" s="8">
        <f t="shared" si="89"/>
        <v>17.3</v>
      </c>
      <c r="I645" s="8">
        <f t="shared" si="90"/>
        <v>17.3</v>
      </c>
    </row>
    <row r="646" spans="1:9" x14ac:dyDescent="0.2">
      <c r="A646" s="203" t="s">
        <v>602</v>
      </c>
      <c r="B646" s="6" t="s">
        <v>248</v>
      </c>
      <c r="C646" s="6" t="s">
        <v>330</v>
      </c>
      <c r="D646" s="202">
        <v>41183</v>
      </c>
      <c r="E646" s="8">
        <v>1704.9</v>
      </c>
      <c r="F646" s="17">
        <f t="shared" si="80"/>
        <v>12</v>
      </c>
      <c r="G646" s="236">
        <f t="shared" si="91"/>
        <v>3.2583333333333336E-3</v>
      </c>
      <c r="H646" s="8">
        <f t="shared" si="89"/>
        <v>66.66</v>
      </c>
      <c r="I646" s="8">
        <f t="shared" si="90"/>
        <v>66.66</v>
      </c>
    </row>
    <row r="647" spans="1:9" x14ac:dyDescent="0.2">
      <c r="A647" s="203" t="s">
        <v>602</v>
      </c>
      <c r="B647" s="6" t="s">
        <v>250</v>
      </c>
      <c r="C647" s="6" t="s">
        <v>332</v>
      </c>
      <c r="D647" s="202">
        <v>41122</v>
      </c>
      <c r="E647" s="8">
        <v>1938.1100000000001</v>
      </c>
      <c r="F647" s="17">
        <f t="shared" si="80"/>
        <v>12</v>
      </c>
      <c r="G647" s="236">
        <f t="shared" si="91"/>
        <v>3.2583333333333336E-3</v>
      </c>
      <c r="H647" s="8">
        <f t="shared" si="89"/>
        <v>75.78</v>
      </c>
      <c r="I647" s="8">
        <f t="shared" si="90"/>
        <v>75.78</v>
      </c>
    </row>
    <row r="648" spans="1:9" x14ac:dyDescent="0.2">
      <c r="A648" s="203" t="s">
        <v>602</v>
      </c>
      <c r="B648" s="6" t="s">
        <v>250</v>
      </c>
      <c r="C648" s="6" t="s">
        <v>332</v>
      </c>
      <c r="D648" s="202">
        <v>41153</v>
      </c>
      <c r="E648" s="8">
        <v>4829.67</v>
      </c>
      <c r="F648" s="17">
        <f t="shared" si="80"/>
        <v>12</v>
      </c>
      <c r="G648" s="236">
        <f t="shared" si="91"/>
        <v>3.2583333333333336E-3</v>
      </c>
      <c r="H648" s="8">
        <f t="shared" si="89"/>
        <v>188.84</v>
      </c>
      <c r="I648" s="8">
        <f t="shared" si="90"/>
        <v>188.84</v>
      </c>
    </row>
    <row r="649" spans="1:9" x14ac:dyDescent="0.2">
      <c r="A649" s="203" t="s">
        <v>602</v>
      </c>
      <c r="B649" s="6" t="s">
        <v>250</v>
      </c>
      <c r="C649" s="6" t="s">
        <v>332</v>
      </c>
      <c r="D649" s="202">
        <v>41183</v>
      </c>
      <c r="E649" s="8">
        <v>18545.54</v>
      </c>
      <c r="F649" s="17">
        <f t="shared" si="80"/>
        <v>12</v>
      </c>
      <c r="G649" s="236">
        <f t="shared" si="91"/>
        <v>3.2583333333333336E-3</v>
      </c>
      <c r="H649" s="8">
        <f t="shared" si="89"/>
        <v>725.13</v>
      </c>
      <c r="I649" s="8">
        <f t="shared" si="90"/>
        <v>725.13</v>
      </c>
    </row>
    <row r="650" spans="1:9" x14ac:dyDescent="0.2">
      <c r="A650" s="203" t="s">
        <v>603</v>
      </c>
      <c r="B650" s="6" t="s">
        <v>251</v>
      </c>
      <c r="C650" s="6" t="s">
        <v>302</v>
      </c>
      <c r="D650" s="202">
        <v>41183</v>
      </c>
      <c r="E650" s="8">
        <v>593.6</v>
      </c>
      <c r="F650" s="17">
        <f t="shared" si="80"/>
        <v>12</v>
      </c>
      <c r="G650" s="236">
        <f t="shared" ref="G650:G654" si="92">0.0324/12</f>
        <v>2.6999999999999997E-3</v>
      </c>
      <c r="H650" s="8">
        <f t="shared" si="89"/>
        <v>19.23</v>
      </c>
      <c r="I650" s="8">
        <f t="shared" si="90"/>
        <v>19.23</v>
      </c>
    </row>
    <row r="651" spans="1:9" x14ac:dyDescent="0.2">
      <c r="A651" s="203" t="s">
        <v>603</v>
      </c>
      <c r="B651" s="6" t="s">
        <v>252</v>
      </c>
      <c r="C651" s="6" t="s">
        <v>304</v>
      </c>
      <c r="D651" s="202">
        <v>41122</v>
      </c>
      <c r="E651" s="8">
        <v>-13.27</v>
      </c>
      <c r="F651" s="17">
        <f t="shared" si="80"/>
        <v>12</v>
      </c>
      <c r="G651" s="236">
        <f t="shared" si="92"/>
        <v>2.6999999999999997E-3</v>
      </c>
      <c r="H651" s="8">
        <f t="shared" si="89"/>
        <v>-0.43</v>
      </c>
      <c r="I651" s="8">
        <f t="shared" si="90"/>
        <v>-0.43</v>
      </c>
    </row>
    <row r="652" spans="1:9" x14ac:dyDescent="0.2">
      <c r="A652" s="203" t="s">
        <v>603</v>
      </c>
      <c r="B652" s="6" t="s">
        <v>252</v>
      </c>
      <c r="C652" s="6" t="s">
        <v>304</v>
      </c>
      <c r="D652" s="202">
        <v>41153</v>
      </c>
      <c r="E652" s="8">
        <v>-17.86</v>
      </c>
      <c r="F652" s="17">
        <f t="shared" si="80"/>
        <v>12</v>
      </c>
      <c r="G652" s="236">
        <f t="shared" si="92"/>
        <v>2.6999999999999997E-3</v>
      </c>
      <c r="H652" s="8">
        <f t="shared" si="89"/>
        <v>-0.57999999999999996</v>
      </c>
      <c r="I652" s="8">
        <f t="shared" si="90"/>
        <v>-0.57999999999999996</v>
      </c>
    </row>
    <row r="653" spans="1:9" x14ac:dyDescent="0.2">
      <c r="A653" s="203" t="s">
        <v>603</v>
      </c>
      <c r="B653" s="6" t="s">
        <v>253</v>
      </c>
      <c r="C653" s="6" t="s">
        <v>306</v>
      </c>
      <c r="D653" s="202">
        <v>41153</v>
      </c>
      <c r="E653" s="8">
        <v>1992.43</v>
      </c>
      <c r="F653" s="17">
        <f t="shared" si="80"/>
        <v>12</v>
      </c>
      <c r="G653" s="236">
        <f t="shared" si="92"/>
        <v>2.6999999999999997E-3</v>
      </c>
      <c r="H653" s="8">
        <f t="shared" si="89"/>
        <v>64.55</v>
      </c>
      <c r="I653" s="8">
        <f t="shared" si="90"/>
        <v>64.55</v>
      </c>
    </row>
    <row r="654" spans="1:9" x14ac:dyDescent="0.2">
      <c r="A654" s="203" t="s">
        <v>603</v>
      </c>
      <c r="B654" s="6" t="s">
        <v>255</v>
      </c>
      <c r="C654" s="6" t="s">
        <v>338</v>
      </c>
      <c r="D654" s="202">
        <v>41153</v>
      </c>
      <c r="E654" s="8">
        <v>196.27</v>
      </c>
      <c r="F654" s="17">
        <f t="shared" si="80"/>
        <v>12</v>
      </c>
      <c r="G654" s="236">
        <f t="shared" si="92"/>
        <v>2.6999999999999997E-3</v>
      </c>
      <c r="H654" s="8">
        <f t="shared" si="89"/>
        <v>6.36</v>
      </c>
      <c r="I654" s="8">
        <f t="shared" si="90"/>
        <v>6.36</v>
      </c>
    </row>
    <row r="655" spans="1:9" x14ac:dyDescent="0.2">
      <c r="E655" s="245"/>
      <c r="G655" s="162"/>
    </row>
    <row r="656" spans="1:9" ht="13.5" thickBot="1" x14ac:dyDescent="0.25">
      <c r="C656" s="12" t="s">
        <v>29</v>
      </c>
      <c r="E656" s="244">
        <f>SUM(E567:E654)</f>
        <v>218599.31000000006</v>
      </c>
      <c r="F656" s="151"/>
      <c r="G656" s="162"/>
      <c r="H656" s="13">
        <f>SUM(H567:H654)</f>
        <v>6585.2299999999987</v>
      </c>
      <c r="I656" s="13">
        <f>SUM(I567:I654)</f>
        <v>7870.62</v>
      </c>
    </row>
    <row r="657" spans="1:9" ht="13.5" thickTop="1" x14ac:dyDescent="0.2">
      <c r="C657" s="12"/>
      <c r="E657" s="182"/>
      <c r="G657" s="162"/>
      <c r="H657" s="14"/>
      <c r="I657" s="14"/>
    </row>
    <row r="658" spans="1:9" ht="13.5" thickBot="1" x14ac:dyDescent="0.25">
      <c r="C658" s="12" t="s">
        <v>39</v>
      </c>
      <c r="E658" s="246">
        <f>E656+E562+E463</f>
        <v>3610123.6500000032</v>
      </c>
      <c r="F658" s="16"/>
      <c r="G658" s="163"/>
      <c r="H658" s="15">
        <f>H656+H562+H463</f>
        <v>125576.22000000003</v>
      </c>
      <c r="I658" s="15">
        <f>I656+I562+I463</f>
        <v>158995.35999999993</v>
      </c>
    </row>
    <row r="659" spans="1:9" ht="13.5" thickTop="1" x14ac:dyDescent="0.2">
      <c r="C659" s="12"/>
      <c r="E659" s="182"/>
      <c r="G659" s="162"/>
      <c r="H659" s="14"/>
      <c r="I659" s="14"/>
    </row>
    <row r="660" spans="1:9" x14ac:dyDescent="0.2">
      <c r="C660" s="12"/>
      <c r="E660" s="182"/>
      <c r="G660" s="162"/>
      <c r="H660" s="14"/>
      <c r="I660" s="14"/>
    </row>
    <row r="661" spans="1:9" x14ac:dyDescent="0.2">
      <c r="A661" s="2" t="s">
        <v>40</v>
      </c>
      <c r="E661" s="245"/>
      <c r="G661" s="162"/>
    </row>
    <row r="662" spans="1:9" x14ac:dyDescent="0.2">
      <c r="E662" s="245"/>
      <c r="G662" s="162"/>
    </row>
    <row r="663" spans="1:9" x14ac:dyDescent="0.2">
      <c r="A663" s="203" t="s">
        <v>604</v>
      </c>
      <c r="B663" s="159" t="s">
        <v>567</v>
      </c>
      <c r="C663" s="6" t="s">
        <v>557</v>
      </c>
      <c r="D663" s="56">
        <v>41061</v>
      </c>
      <c r="E663" s="167">
        <v>2780.44</v>
      </c>
      <c r="F663" s="17">
        <f t="shared" ref="F663:F666" si="93">IF((YEAR($F$1)-YEAR($D663))*12+MONTH($F$1)-MONTH($D663)&gt;12,12,(YEAR($F$1)-YEAR($D663))*12+MONTH($F$1)-MONTH($D663))</f>
        <v>12</v>
      </c>
      <c r="G663" s="236">
        <f>0.0315/12</f>
        <v>2.6250000000000002E-3</v>
      </c>
      <c r="H663" s="8">
        <f>ROUND(E663*F663*G663,2)</f>
        <v>87.58</v>
      </c>
      <c r="I663" s="8">
        <f>ROUND(E663*G663*12,2)</f>
        <v>87.58</v>
      </c>
    </row>
    <row r="664" spans="1:9" x14ac:dyDescent="0.2">
      <c r="A664" s="203" t="s">
        <v>604</v>
      </c>
      <c r="B664" s="159" t="s">
        <v>567</v>
      </c>
      <c r="C664" s="6" t="s">
        <v>557</v>
      </c>
      <c r="D664" s="56">
        <v>41091</v>
      </c>
      <c r="E664" s="167">
        <v>9.27</v>
      </c>
      <c r="F664" s="17">
        <f t="shared" si="93"/>
        <v>12</v>
      </c>
      <c r="G664" s="236">
        <f t="shared" ref="G664:G666" si="94">0.0315/12</f>
        <v>2.6250000000000002E-3</v>
      </c>
      <c r="H664" s="8">
        <f t="shared" ref="H664:H666" si="95">ROUND(E664*F664*G664,2)</f>
        <v>0.28999999999999998</v>
      </c>
      <c r="I664" s="8">
        <f t="shared" ref="I664:I666" si="96">ROUND(E664*G664*12,2)</f>
        <v>0.28999999999999998</v>
      </c>
    </row>
    <row r="665" spans="1:9" x14ac:dyDescent="0.2">
      <c r="A665" s="203" t="s">
        <v>604</v>
      </c>
      <c r="B665" s="159" t="s">
        <v>567</v>
      </c>
      <c r="C665" s="6" t="s">
        <v>557</v>
      </c>
      <c r="D665" s="56">
        <v>41122</v>
      </c>
      <c r="E665" s="167">
        <v>-4.71</v>
      </c>
      <c r="F665" s="17">
        <f t="shared" si="93"/>
        <v>12</v>
      </c>
      <c r="G665" s="236">
        <f t="shared" si="94"/>
        <v>2.6250000000000002E-3</v>
      </c>
      <c r="H665" s="8">
        <f t="shared" si="95"/>
        <v>-0.15</v>
      </c>
      <c r="I665" s="8">
        <f t="shared" si="96"/>
        <v>-0.15</v>
      </c>
    </row>
    <row r="666" spans="1:9" x14ac:dyDescent="0.2">
      <c r="A666" s="203" t="s">
        <v>604</v>
      </c>
      <c r="B666" s="159" t="s">
        <v>567</v>
      </c>
      <c r="C666" s="6" t="s">
        <v>557</v>
      </c>
      <c r="D666" s="56">
        <v>41153</v>
      </c>
      <c r="E666" s="167">
        <v>-6.33</v>
      </c>
      <c r="F666" s="17">
        <f t="shared" si="93"/>
        <v>12</v>
      </c>
      <c r="G666" s="236">
        <f t="shared" si="94"/>
        <v>2.6250000000000002E-3</v>
      </c>
      <c r="H666" s="8">
        <f t="shared" si="95"/>
        <v>-0.2</v>
      </c>
      <c r="I666" s="8">
        <f t="shared" si="96"/>
        <v>-0.2</v>
      </c>
    </row>
    <row r="667" spans="1:9" x14ac:dyDescent="0.2">
      <c r="A667" s="3"/>
      <c r="B667" s="3"/>
      <c r="C667" s="3"/>
      <c r="D667" s="9"/>
      <c r="E667" s="182"/>
      <c r="F667" s="11"/>
      <c r="G667" s="161"/>
      <c r="H667" s="10"/>
      <c r="I667" s="10"/>
    </row>
    <row r="668" spans="1:9" ht="13.5" thickBot="1" x14ac:dyDescent="0.25">
      <c r="A668" s="3"/>
      <c r="B668" s="3"/>
      <c r="C668" s="12" t="s">
        <v>27</v>
      </c>
      <c r="D668" s="9"/>
      <c r="E668" s="244">
        <f>SUM(E663:E666)</f>
        <v>2778.67</v>
      </c>
      <c r="F668" s="151"/>
      <c r="G668" s="161"/>
      <c r="H668" s="13">
        <f>SUM(H663:H666)</f>
        <v>87.52</v>
      </c>
      <c r="I668" s="13">
        <f>SUM(I663:I666)</f>
        <v>87.52</v>
      </c>
    </row>
    <row r="669" spans="1:9" ht="13.5" thickTop="1" x14ac:dyDescent="0.2">
      <c r="A669" s="3"/>
      <c r="B669" s="3"/>
      <c r="C669" s="3"/>
      <c r="D669" s="9"/>
      <c r="E669" s="182"/>
      <c r="F669" s="11"/>
      <c r="G669" s="161"/>
      <c r="H669" s="10"/>
      <c r="I669" s="10"/>
    </row>
    <row r="670" spans="1:9" x14ac:dyDescent="0.2">
      <c r="E670" s="245"/>
      <c r="G670" s="162"/>
    </row>
    <row r="671" spans="1:9" ht="13.5" thickBot="1" x14ac:dyDescent="0.25">
      <c r="C671" s="12" t="s">
        <v>41</v>
      </c>
      <c r="E671" s="246">
        <f>E668</f>
        <v>2778.67</v>
      </c>
      <c r="F671" s="16"/>
      <c r="G671" s="163"/>
      <c r="H671" s="15">
        <f>H668</f>
        <v>87.52</v>
      </c>
      <c r="I671" s="15">
        <f>I668</f>
        <v>87.52</v>
      </c>
    </row>
    <row r="672" spans="1:9" ht="13.5" thickTop="1" x14ac:dyDescent="0.2">
      <c r="E672" s="247"/>
      <c r="F672" s="16"/>
      <c r="G672" s="163"/>
      <c r="H672" s="16"/>
      <c r="I672" s="16"/>
    </row>
    <row r="673" spans="3:9" ht="13.5" thickBot="1" x14ac:dyDescent="0.25">
      <c r="C673" s="12" t="s">
        <v>42</v>
      </c>
      <c r="E673" s="246">
        <f>E671+E658+E426+E282</f>
        <v>6327365.8600000031</v>
      </c>
      <c r="F673" s="152"/>
      <c r="G673" s="163"/>
      <c r="H673" s="15">
        <f>H671+H658+H426+H282</f>
        <v>201482.55000000002</v>
      </c>
      <c r="I673" s="15">
        <f>I671+I658+I426+I282</f>
        <v>258104.98999999987</v>
      </c>
    </row>
    <row r="674" spans="3:9" ht="13.5" thickTop="1" x14ac:dyDescent="0.2">
      <c r="E674" s="245"/>
      <c r="G674" s="162"/>
    </row>
    <row r="675" spans="3:9" x14ac:dyDescent="0.2">
      <c r="E675" s="245"/>
      <c r="G675" s="162"/>
    </row>
    <row r="676" spans="3:9" x14ac:dyDescent="0.2">
      <c r="E676" s="245"/>
      <c r="G676" s="162"/>
    </row>
    <row r="677" spans="3:9" x14ac:dyDescent="0.2">
      <c r="E677" s="245"/>
      <c r="G677" s="162"/>
    </row>
    <row r="678" spans="3:9" x14ac:dyDescent="0.2">
      <c r="E678" s="245"/>
      <c r="G678" s="162"/>
    </row>
    <row r="679" spans="3:9" x14ac:dyDescent="0.2">
      <c r="E679" s="245"/>
      <c r="G679" s="162"/>
    </row>
    <row r="680" spans="3:9" x14ac:dyDescent="0.2">
      <c r="E680" s="245"/>
      <c r="G680" s="162"/>
    </row>
    <row r="681" spans="3:9" x14ac:dyDescent="0.2">
      <c r="E681" s="245"/>
      <c r="G681" s="162"/>
    </row>
    <row r="682" spans="3:9" x14ac:dyDescent="0.2">
      <c r="E682" s="245"/>
      <c r="G682" s="162"/>
    </row>
    <row r="683" spans="3:9" x14ac:dyDescent="0.2">
      <c r="E683" s="245"/>
      <c r="G683" s="162"/>
    </row>
    <row r="684" spans="3:9" x14ac:dyDescent="0.2">
      <c r="E684" s="245"/>
      <c r="G684" s="162"/>
    </row>
    <row r="685" spans="3:9" x14ac:dyDescent="0.2">
      <c r="E685" s="245"/>
      <c r="G685" s="162"/>
    </row>
    <row r="686" spans="3:9" x14ac:dyDescent="0.2">
      <c r="E686" s="245"/>
      <c r="G686" s="162"/>
    </row>
    <row r="687" spans="3:9" x14ac:dyDescent="0.2">
      <c r="E687" s="245"/>
      <c r="G687" s="162"/>
    </row>
    <row r="688" spans="3:9" x14ac:dyDescent="0.2">
      <c r="E688" s="248"/>
      <c r="G688" s="162"/>
    </row>
    <row r="689" spans="5:7" x14ac:dyDescent="0.2">
      <c r="E689" s="248"/>
      <c r="G689" s="162"/>
    </row>
    <row r="690" spans="5:7" x14ac:dyDescent="0.2">
      <c r="E690" s="248"/>
      <c r="G690" s="162"/>
    </row>
    <row r="691" spans="5:7" x14ac:dyDescent="0.2">
      <c r="E691" s="248"/>
      <c r="G691" s="162"/>
    </row>
    <row r="692" spans="5:7" x14ac:dyDescent="0.2">
      <c r="E692" s="248"/>
      <c r="G692" s="162"/>
    </row>
    <row r="693" spans="5:7" x14ac:dyDescent="0.2">
      <c r="E693" s="248"/>
      <c r="G693" s="162"/>
    </row>
    <row r="694" spans="5:7" x14ac:dyDescent="0.2">
      <c r="E694" s="248"/>
      <c r="G694" s="162"/>
    </row>
    <row r="695" spans="5:7" x14ac:dyDescent="0.2">
      <c r="E695" s="248"/>
      <c r="G695" s="162"/>
    </row>
    <row r="696" spans="5:7" x14ac:dyDescent="0.2">
      <c r="E696" s="248"/>
      <c r="G696" s="162"/>
    </row>
    <row r="697" spans="5:7" x14ac:dyDescent="0.2">
      <c r="E697" s="248"/>
      <c r="G697" s="162"/>
    </row>
    <row r="698" spans="5:7" x14ac:dyDescent="0.2">
      <c r="E698" s="248"/>
      <c r="G698" s="162"/>
    </row>
    <row r="699" spans="5:7" x14ac:dyDescent="0.2">
      <c r="E699" s="248"/>
      <c r="G699" s="162"/>
    </row>
    <row r="700" spans="5:7" x14ac:dyDescent="0.2">
      <c r="E700" s="248"/>
      <c r="G700" s="162"/>
    </row>
    <row r="701" spans="5:7" x14ac:dyDescent="0.2">
      <c r="E701" s="248"/>
      <c r="G701" s="162"/>
    </row>
    <row r="702" spans="5:7" x14ac:dyDescent="0.2">
      <c r="E702" s="248"/>
      <c r="G702" s="162"/>
    </row>
    <row r="703" spans="5:7" x14ac:dyDescent="0.2">
      <c r="E703" s="248"/>
      <c r="G703" s="162"/>
    </row>
    <row r="704" spans="5:7" x14ac:dyDescent="0.2">
      <c r="E704" s="248"/>
      <c r="G704" s="162"/>
    </row>
    <row r="705" spans="5:7" x14ac:dyDescent="0.2">
      <c r="E705" s="248"/>
      <c r="G705" s="162"/>
    </row>
    <row r="706" spans="5:7" x14ac:dyDescent="0.2">
      <c r="E706"/>
      <c r="G706" s="162"/>
    </row>
    <row r="707" spans="5:7" x14ac:dyDescent="0.2">
      <c r="E707"/>
      <c r="G707" s="162"/>
    </row>
    <row r="708" spans="5:7" x14ac:dyDescent="0.2">
      <c r="E708"/>
      <c r="G708" s="162"/>
    </row>
    <row r="709" spans="5:7" x14ac:dyDescent="0.2">
      <c r="E709"/>
      <c r="G709" s="162"/>
    </row>
    <row r="710" spans="5:7" x14ac:dyDescent="0.2">
      <c r="E710"/>
      <c r="G710" s="162"/>
    </row>
    <row r="711" spans="5:7" x14ac:dyDescent="0.2">
      <c r="E711"/>
      <c r="G711" s="162"/>
    </row>
    <row r="712" spans="5:7" x14ac:dyDescent="0.2">
      <c r="E712"/>
      <c r="G712" s="162"/>
    </row>
    <row r="713" spans="5:7" x14ac:dyDescent="0.2">
      <c r="E713"/>
      <c r="G713" s="162"/>
    </row>
    <row r="714" spans="5:7" x14ac:dyDescent="0.2">
      <c r="E714"/>
      <c r="G714" s="162"/>
    </row>
    <row r="715" spans="5:7" x14ac:dyDescent="0.2">
      <c r="E715"/>
      <c r="G715" s="162"/>
    </row>
    <row r="716" spans="5:7" x14ac:dyDescent="0.2">
      <c r="E716"/>
      <c r="G716" s="162"/>
    </row>
    <row r="717" spans="5:7" x14ac:dyDescent="0.2">
      <c r="E717"/>
      <c r="G717" s="162"/>
    </row>
    <row r="718" spans="5:7" x14ac:dyDescent="0.2">
      <c r="E718"/>
      <c r="G718" s="162"/>
    </row>
    <row r="719" spans="5:7" x14ac:dyDescent="0.2">
      <c r="E719"/>
      <c r="G719" s="162"/>
    </row>
    <row r="720" spans="5:7" x14ac:dyDescent="0.2">
      <c r="E720"/>
      <c r="G720" s="162"/>
    </row>
    <row r="721" spans="5:7" x14ac:dyDescent="0.2">
      <c r="E721"/>
      <c r="G721" s="162"/>
    </row>
    <row r="722" spans="5:7" x14ac:dyDescent="0.2">
      <c r="E722"/>
      <c r="G722" s="162"/>
    </row>
    <row r="723" spans="5:7" x14ac:dyDescent="0.2">
      <c r="E723"/>
      <c r="G723" s="162"/>
    </row>
    <row r="724" spans="5:7" x14ac:dyDescent="0.2">
      <c r="E724"/>
      <c r="G724" s="162"/>
    </row>
    <row r="725" spans="5:7" x14ac:dyDescent="0.2">
      <c r="E725"/>
      <c r="G725" s="162"/>
    </row>
    <row r="726" spans="5:7" x14ac:dyDescent="0.2">
      <c r="E726"/>
      <c r="G726" s="162"/>
    </row>
    <row r="727" spans="5:7" x14ac:dyDescent="0.2">
      <c r="E727"/>
      <c r="G727" s="162"/>
    </row>
    <row r="728" spans="5:7" x14ac:dyDescent="0.2">
      <c r="E728"/>
      <c r="G728" s="162"/>
    </row>
    <row r="729" spans="5:7" x14ac:dyDescent="0.2">
      <c r="E729"/>
      <c r="G729" s="162"/>
    </row>
    <row r="730" spans="5:7" x14ac:dyDescent="0.2">
      <c r="E730"/>
      <c r="G730" s="162"/>
    </row>
    <row r="731" spans="5:7" x14ac:dyDescent="0.2">
      <c r="E731"/>
      <c r="G731" s="162"/>
    </row>
    <row r="732" spans="5:7" x14ac:dyDescent="0.2">
      <c r="E732"/>
      <c r="G732" s="162"/>
    </row>
    <row r="733" spans="5:7" x14ac:dyDescent="0.2">
      <c r="E733"/>
      <c r="G733" s="162"/>
    </row>
    <row r="734" spans="5:7" x14ac:dyDescent="0.2">
      <c r="E734"/>
      <c r="G734" s="162"/>
    </row>
    <row r="735" spans="5:7" x14ac:dyDescent="0.2">
      <c r="E735"/>
      <c r="G735" s="162"/>
    </row>
    <row r="736" spans="5:7" x14ac:dyDescent="0.2">
      <c r="E736"/>
      <c r="G736" s="162"/>
    </row>
    <row r="737" spans="5:7" x14ac:dyDescent="0.2">
      <c r="E737"/>
      <c r="G737" s="162"/>
    </row>
    <row r="738" spans="5:7" x14ac:dyDescent="0.2">
      <c r="E738"/>
      <c r="G738" s="162"/>
    </row>
    <row r="739" spans="5:7" x14ac:dyDescent="0.2">
      <c r="E739"/>
      <c r="G739" s="162"/>
    </row>
    <row r="740" spans="5:7" x14ac:dyDescent="0.2">
      <c r="E740"/>
      <c r="G740" s="162"/>
    </row>
    <row r="741" spans="5:7" x14ac:dyDescent="0.2">
      <c r="E741"/>
      <c r="G741" s="162"/>
    </row>
    <row r="742" spans="5:7" x14ac:dyDescent="0.2">
      <c r="E742"/>
      <c r="G742" s="162"/>
    </row>
    <row r="743" spans="5:7" x14ac:dyDescent="0.2">
      <c r="E743"/>
      <c r="G743" s="162"/>
    </row>
    <row r="744" spans="5:7" x14ac:dyDescent="0.2">
      <c r="E744"/>
      <c r="G744" s="162"/>
    </row>
    <row r="745" spans="5:7" x14ac:dyDescent="0.2">
      <c r="E745"/>
      <c r="G745" s="162"/>
    </row>
    <row r="746" spans="5:7" x14ac:dyDescent="0.2">
      <c r="E746"/>
      <c r="G746" s="162"/>
    </row>
    <row r="747" spans="5:7" x14ac:dyDescent="0.2">
      <c r="E747"/>
      <c r="G747" s="162"/>
    </row>
    <row r="748" spans="5:7" x14ac:dyDescent="0.2">
      <c r="E748"/>
      <c r="G748" s="162"/>
    </row>
    <row r="749" spans="5:7" x14ac:dyDescent="0.2">
      <c r="E749"/>
      <c r="G749" s="162"/>
    </row>
    <row r="750" spans="5:7" x14ac:dyDescent="0.2">
      <c r="E750"/>
      <c r="G750" s="162"/>
    </row>
    <row r="751" spans="5:7" x14ac:dyDescent="0.2">
      <c r="E751"/>
      <c r="G751" s="162"/>
    </row>
    <row r="752" spans="5:7" x14ac:dyDescent="0.2">
      <c r="E752"/>
      <c r="G752" s="162"/>
    </row>
    <row r="753" spans="5:7" x14ac:dyDescent="0.2">
      <c r="E753"/>
      <c r="G753" s="162"/>
    </row>
    <row r="754" spans="5:7" x14ac:dyDescent="0.2">
      <c r="E754"/>
      <c r="G754" s="162"/>
    </row>
    <row r="755" spans="5:7" x14ac:dyDescent="0.2">
      <c r="E755"/>
      <c r="G755" s="162"/>
    </row>
    <row r="756" spans="5:7" x14ac:dyDescent="0.2">
      <c r="E756"/>
      <c r="G756" s="162"/>
    </row>
    <row r="757" spans="5:7" x14ac:dyDescent="0.2">
      <c r="E757"/>
      <c r="G757" s="162"/>
    </row>
    <row r="758" spans="5:7" x14ac:dyDescent="0.2">
      <c r="E758"/>
      <c r="G758" s="162"/>
    </row>
    <row r="759" spans="5:7" x14ac:dyDescent="0.2">
      <c r="E759"/>
      <c r="G759" s="162"/>
    </row>
    <row r="760" spans="5:7" x14ac:dyDescent="0.2">
      <c r="E760"/>
      <c r="G760" s="162"/>
    </row>
    <row r="761" spans="5:7" x14ac:dyDescent="0.2">
      <c r="E761"/>
      <c r="G761" s="162"/>
    </row>
    <row r="762" spans="5:7" x14ac:dyDescent="0.2">
      <c r="E762"/>
      <c r="G762" s="162"/>
    </row>
    <row r="763" spans="5:7" x14ac:dyDescent="0.2">
      <c r="E763"/>
      <c r="G763" s="162"/>
    </row>
    <row r="764" spans="5:7" x14ac:dyDescent="0.2">
      <c r="E764"/>
      <c r="G764" s="162"/>
    </row>
    <row r="765" spans="5:7" x14ac:dyDescent="0.2">
      <c r="E765"/>
      <c r="G765" s="162"/>
    </row>
    <row r="766" spans="5:7" x14ac:dyDescent="0.2">
      <c r="E766"/>
      <c r="G766" s="162"/>
    </row>
    <row r="767" spans="5:7" x14ac:dyDescent="0.2">
      <c r="E767"/>
      <c r="G767" s="162"/>
    </row>
    <row r="768" spans="5:7" x14ac:dyDescent="0.2">
      <c r="E768"/>
      <c r="G768" s="162"/>
    </row>
    <row r="769" spans="5:7" x14ac:dyDescent="0.2">
      <c r="E769"/>
      <c r="G769" s="162"/>
    </row>
    <row r="770" spans="5:7" x14ac:dyDescent="0.2">
      <c r="E770"/>
      <c r="G770" s="162"/>
    </row>
    <row r="771" spans="5:7" x14ac:dyDescent="0.2">
      <c r="E771"/>
      <c r="G771" s="162"/>
    </row>
    <row r="772" spans="5:7" x14ac:dyDescent="0.2">
      <c r="E772"/>
      <c r="G772" s="162"/>
    </row>
    <row r="773" spans="5:7" x14ac:dyDescent="0.2">
      <c r="E773"/>
      <c r="G773" s="162"/>
    </row>
    <row r="774" spans="5:7" x14ac:dyDescent="0.2">
      <c r="E774"/>
      <c r="G774" s="162"/>
    </row>
    <row r="775" spans="5:7" x14ac:dyDescent="0.2">
      <c r="E775"/>
      <c r="G775" s="162"/>
    </row>
    <row r="776" spans="5:7" x14ac:dyDescent="0.2">
      <c r="E776"/>
      <c r="G776" s="162"/>
    </row>
    <row r="777" spans="5:7" x14ac:dyDescent="0.2">
      <c r="E777"/>
      <c r="G777" s="162"/>
    </row>
    <row r="778" spans="5:7" x14ac:dyDescent="0.2">
      <c r="E778"/>
      <c r="G778" s="162"/>
    </row>
    <row r="779" spans="5:7" x14ac:dyDescent="0.2">
      <c r="E779"/>
      <c r="G779" s="162"/>
    </row>
    <row r="780" spans="5:7" x14ac:dyDescent="0.2">
      <c r="E780"/>
      <c r="G780" s="162"/>
    </row>
    <row r="781" spans="5:7" x14ac:dyDescent="0.2">
      <c r="E781"/>
      <c r="G781" s="162"/>
    </row>
    <row r="782" spans="5:7" x14ac:dyDescent="0.2">
      <c r="E782"/>
      <c r="G782" s="162"/>
    </row>
    <row r="783" spans="5:7" x14ac:dyDescent="0.2">
      <c r="E783"/>
      <c r="G783" s="162"/>
    </row>
    <row r="784" spans="5:7" x14ac:dyDescent="0.2">
      <c r="E784"/>
      <c r="G784" s="162"/>
    </row>
  </sheetData>
  <phoneticPr fontId="3" type="noConversion"/>
  <pageMargins left="0.48" right="0.43" top="1" bottom="1.01" header="0.5" footer="0.36"/>
  <pageSetup scale="72" fitToHeight="10" orientation="landscape" r:id="rId1"/>
  <headerFooter alignWithMargins="0">
    <oddFooter>&amp;RAPPENDIX A
SCHEDULE 1
Eligible Replacements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2"/>
    <pageSetUpPr fitToPage="1"/>
  </sheetPr>
  <dimension ref="A1:K576"/>
  <sheetViews>
    <sheetView showGridLines="0" zoomScaleNormal="100" zoomScaleSheetLayoutView="65" workbookViewId="0"/>
  </sheetViews>
  <sheetFormatPr defaultRowHeight="12.75" x14ac:dyDescent="0.2"/>
  <cols>
    <col min="1" max="1" width="10.140625" style="35" customWidth="1"/>
    <col min="2" max="2" width="17.28515625" customWidth="1"/>
    <col min="3" max="3" width="68" customWidth="1"/>
    <col min="4" max="4" width="11.42578125" customWidth="1"/>
    <col min="5" max="5" width="16.7109375" customWidth="1"/>
    <col min="6" max="6" width="12.42578125" customWidth="1"/>
    <col min="7" max="7" width="12.85546875" customWidth="1"/>
    <col min="8" max="8" width="15.7109375" customWidth="1"/>
    <col min="9" max="9" width="15.28515625" bestFit="1" customWidth="1"/>
    <col min="11" max="11" width="10.85546875" bestFit="1" customWidth="1"/>
  </cols>
  <sheetData>
    <row r="1" spans="1:11" x14ac:dyDescent="0.2">
      <c r="A1" s="210" t="s">
        <v>97</v>
      </c>
      <c r="F1" s="189">
        <v>41548</v>
      </c>
    </row>
    <row r="2" spans="1:11" x14ac:dyDescent="0.2">
      <c r="A2" s="19"/>
      <c r="B2" s="3"/>
      <c r="C2" s="3"/>
      <c r="D2" s="3"/>
      <c r="E2" s="3"/>
      <c r="F2" s="3"/>
      <c r="G2" s="3"/>
      <c r="H2" s="3"/>
      <c r="I2" s="3"/>
    </row>
    <row r="3" spans="1:11" s="5" customFormat="1" ht="25.5" x14ac:dyDescent="0.2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65" t="s">
        <v>23</v>
      </c>
      <c r="I3" s="65" t="s">
        <v>24</v>
      </c>
    </row>
    <row r="4" spans="1:11" x14ac:dyDescent="0.2">
      <c r="A4" s="207">
        <v>37602</v>
      </c>
      <c r="B4" s="237" t="s">
        <v>391</v>
      </c>
      <c r="C4" s="238" t="s">
        <v>571</v>
      </c>
      <c r="D4" s="239">
        <v>41365</v>
      </c>
      <c r="E4" s="249">
        <v>-2959.15</v>
      </c>
      <c r="F4" s="240">
        <f>IF((YEAR($F$1)-YEAR($D4))*12+MONTH($F$1)-MONTH($D4)&gt;12,12,(YEAR($F$1)-YEAR($D4))*12+MONTH($F$1)-MONTH($D4))</f>
        <v>6</v>
      </c>
      <c r="G4" s="255">
        <f t="shared" ref="G4:G13" si="0">0.0153/12</f>
        <v>1.2749999999999999E-3</v>
      </c>
      <c r="H4" s="167">
        <f>ROUND(E4*F4*G4,2)</f>
        <v>-22.64</v>
      </c>
      <c r="I4" s="167">
        <f>ROUND(E4*G4*12,2)</f>
        <v>-45.27</v>
      </c>
      <c r="K4" s="57"/>
    </row>
    <row r="5" spans="1:11" x14ac:dyDescent="0.2">
      <c r="A5" s="207">
        <v>37602</v>
      </c>
      <c r="B5" s="237" t="s">
        <v>392</v>
      </c>
      <c r="C5" s="238" t="s">
        <v>572</v>
      </c>
      <c r="D5" s="239">
        <v>41306</v>
      </c>
      <c r="E5" s="249">
        <v>-16.13</v>
      </c>
      <c r="F5" s="240">
        <f t="shared" ref="F5:F13" si="1">IF((YEAR($F$1)-YEAR($D5))*12+MONTH($F$1)-MONTH($D5)&gt;12,12,(YEAR($F$1)-YEAR($D5))*12+MONTH($F$1)-MONTH($D5))</f>
        <v>8</v>
      </c>
      <c r="G5" s="255">
        <f t="shared" si="0"/>
        <v>1.2749999999999999E-3</v>
      </c>
      <c r="H5" s="167">
        <f t="shared" ref="H5:H13" si="2">ROUND(E5*F5*G5,2)</f>
        <v>-0.16</v>
      </c>
      <c r="I5" s="167">
        <f t="shared" ref="I5:I13" si="3">ROUND(E5*G5*12,2)</f>
        <v>-0.25</v>
      </c>
      <c r="K5" s="57"/>
    </row>
    <row r="6" spans="1:11" x14ac:dyDescent="0.2">
      <c r="A6" s="207">
        <v>37601</v>
      </c>
      <c r="B6" s="237" t="s">
        <v>391</v>
      </c>
      <c r="C6" s="238" t="s">
        <v>573</v>
      </c>
      <c r="D6" s="239">
        <v>41365</v>
      </c>
      <c r="E6" s="249">
        <v>-103.95</v>
      </c>
      <c r="F6" s="240">
        <f t="shared" si="1"/>
        <v>6</v>
      </c>
      <c r="G6" s="255">
        <f t="shared" si="0"/>
        <v>1.2749999999999999E-3</v>
      </c>
      <c r="H6" s="167">
        <f t="shared" si="2"/>
        <v>-0.8</v>
      </c>
      <c r="I6" s="167">
        <f t="shared" si="3"/>
        <v>-1.59</v>
      </c>
      <c r="K6" s="57"/>
    </row>
    <row r="7" spans="1:11" x14ac:dyDescent="0.2">
      <c r="A7" s="207">
        <v>37601</v>
      </c>
      <c r="B7" s="237" t="s">
        <v>391</v>
      </c>
      <c r="C7" s="238" t="s">
        <v>574</v>
      </c>
      <c r="D7" s="239">
        <v>41365</v>
      </c>
      <c r="E7" s="249">
        <v>-164.33</v>
      </c>
      <c r="F7" s="240">
        <f t="shared" si="1"/>
        <v>6</v>
      </c>
      <c r="G7" s="255">
        <f t="shared" si="0"/>
        <v>1.2749999999999999E-3</v>
      </c>
      <c r="H7" s="167">
        <f t="shared" si="2"/>
        <v>-1.26</v>
      </c>
      <c r="I7" s="167">
        <f t="shared" si="3"/>
        <v>-2.5099999999999998</v>
      </c>
      <c r="K7" s="57"/>
    </row>
    <row r="8" spans="1:11" x14ac:dyDescent="0.2">
      <c r="A8" s="207">
        <v>37601</v>
      </c>
      <c r="B8" s="237" t="s">
        <v>391</v>
      </c>
      <c r="C8" s="238" t="s">
        <v>575</v>
      </c>
      <c r="D8" s="239">
        <v>41334</v>
      </c>
      <c r="E8" s="249">
        <v>-1391.57</v>
      </c>
      <c r="F8" s="240">
        <f t="shared" si="1"/>
        <v>7</v>
      </c>
      <c r="G8" s="255">
        <f t="shared" si="0"/>
        <v>1.2749999999999999E-3</v>
      </c>
      <c r="H8" s="167">
        <f t="shared" si="2"/>
        <v>-12.42</v>
      </c>
      <c r="I8" s="167">
        <f t="shared" si="3"/>
        <v>-21.29</v>
      </c>
      <c r="K8" s="57"/>
    </row>
    <row r="9" spans="1:11" x14ac:dyDescent="0.2">
      <c r="A9" s="207">
        <v>37601</v>
      </c>
      <c r="B9" s="237" t="s">
        <v>391</v>
      </c>
      <c r="C9" s="238" t="s">
        <v>576</v>
      </c>
      <c r="D9" s="239">
        <v>41365</v>
      </c>
      <c r="E9" s="249">
        <v>-143.47</v>
      </c>
      <c r="F9" s="240">
        <f t="shared" si="1"/>
        <v>6</v>
      </c>
      <c r="G9" s="255">
        <f t="shared" si="0"/>
        <v>1.2749999999999999E-3</v>
      </c>
      <c r="H9" s="167">
        <f t="shared" si="2"/>
        <v>-1.1000000000000001</v>
      </c>
      <c r="I9" s="167">
        <f t="shared" si="3"/>
        <v>-2.2000000000000002</v>
      </c>
      <c r="K9" s="57"/>
    </row>
    <row r="10" spans="1:11" x14ac:dyDescent="0.2">
      <c r="A10" s="207" t="s">
        <v>587</v>
      </c>
      <c r="B10" s="237" t="s">
        <v>391</v>
      </c>
      <c r="C10" s="238" t="s">
        <v>571</v>
      </c>
      <c r="D10" s="239">
        <v>41311</v>
      </c>
      <c r="E10" s="249">
        <v>-1668.6312849162009</v>
      </c>
      <c r="F10" s="240">
        <f t="shared" si="1"/>
        <v>8</v>
      </c>
      <c r="G10" s="255">
        <f t="shared" si="0"/>
        <v>1.2749999999999999E-3</v>
      </c>
      <c r="H10" s="167">
        <f t="shared" ref="H10:H12" si="4">ROUND(E10*F10*G10,2)</f>
        <v>-17.02</v>
      </c>
      <c r="I10" s="167">
        <f t="shared" ref="I10:I12" si="5">ROUND(E10*G10*12,2)</f>
        <v>-25.53</v>
      </c>
    </row>
    <row r="11" spans="1:11" x14ac:dyDescent="0.2">
      <c r="A11" s="207" t="s">
        <v>587</v>
      </c>
      <c r="B11" s="237" t="s">
        <v>628</v>
      </c>
      <c r="C11" s="238" t="s">
        <v>571</v>
      </c>
      <c r="D11" s="239">
        <v>41408</v>
      </c>
      <c r="E11" s="249">
        <v>-25.615135135135134</v>
      </c>
      <c r="F11" s="240">
        <f t="shared" si="1"/>
        <v>5</v>
      </c>
      <c r="G11" s="255">
        <f t="shared" si="0"/>
        <v>1.2749999999999999E-3</v>
      </c>
      <c r="H11" s="167">
        <f t="shared" si="4"/>
        <v>-0.16</v>
      </c>
      <c r="I11" s="167">
        <f t="shared" si="5"/>
        <v>-0.39</v>
      </c>
    </row>
    <row r="12" spans="1:11" x14ac:dyDescent="0.2">
      <c r="A12" s="207" t="s">
        <v>587</v>
      </c>
      <c r="B12" s="237" t="s">
        <v>628</v>
      </c>
      <c r="C12" s="238" t="s">
        <v>571</v>
      </c>
      <c r="D12" s="239">
        <v>41408</v>
      </c>
      <c r="E12" s="249">
        <v>-1307.5297188755019</v>
      </c>
      <c r="F12" s="240">
        <f t="shared" si="1"/>
        <v>5</v>
      </c>
      <c r="G12" s="255">
        <f t="shared" si="0"/>
        <v>1.2749999999999999E-3</v>
      </c>
      <c r="H12" s="167">
        <f t="shared" si="4"/>
        <v>-8.34</v>
      </c>
      <c r="I12" s="167">
        <f t="shared" si="5"/>
        <v>-20.010000000000002</v>
      </c>
    </row>
    <row r="13" spans="1:11" x14ac:dyDescent="0.2">
      <c r="A13" s="207">
        <v>37602</v>
      </c>
      <c r="B13" s="237" t="s">
        <v>392</v>
      </c>
      <c r="C13" s="238" t="s">
        <v>572</v>
      </c>
      <c r="D13" s="239">
        <v>41275</v>
      </c>
      <c r="E13" s="249">
        <v>-34.869999999999997</v>
      </c>
      <c r="F13" s="240">
        <f t="shared" si="1"/>
        <v>9</v>
      </c>
      <c r="G13" s="255">
        <f t="shared" si="0"/>
        <v>1.2749999999999999E-3</v>
      </c>
      <c r="H13" s="167">
        <f t="shared" si="2"/>
        <v>-0.4</v>
      </c>
      <c r="I13" s="167">
        <f t="shared" si="3"/>
        <v>-0.53</v>
      </c>
      <c r="K13" s="57"/>
    </row>
    <row r="14" spans="1:11" s="3" customFormat="1" x14ac:dyDescent="0.2">
      <c r="A14" s="19"/>
      <c r="D14" s="9"/>
      <c r="E14" s="10"/>
      <c r="F14" s="11"/>
      <c r="G14" s="256"/>
      <c r="H14" s="10"/>
      <c r="I14" s="10"/>
    </row>
    <row r="15" spans="1:11" s="3" customFormat="1" ht="13.5" thickBot="1" x14ac:dyDescent="0.25">
      <c r="A15" s="19"/>
      <c r="C15" s="12" t="s">
        <v>25</v>
      </c>
      <c r="D15" s="9"/>
      <c r="E15" s="250">
        <f>SUM(E4:E13)</f>
        <v>-7815.2461389268383</v>
      </c>
      <c r="F15" s="151"/>
      <c r="G15" s="165"/>
      <c r="H15" s="250">
        <f>SUM(H4:H13)</f>
        <v>-64.300000000000011</v>
      </c>
      <c r="I15" s="250">
        <f>SUM(I4:I13)</f>
        <v>-119.57000000000001</v>
      </c>
    </row>
    <row r="16" spans="1:11" s="3" customFormat="1" ht="13.5" thickTop="1" x14ac:dyDescent="0.2">
      <c r="A16" s="19"/>
      <c r="C16" s="12"/>
      <c r="D16" s="9"/>
      <c r="E16" s="10"/>
      <c r="F16"/>
      <c r="G16" s="165"/>
      <c r="H16" s="10"/>
      <c r="I16" s="10"/>
    </row>
    <row r="17" spans="1:11" s="3" customFormat="1" x14ac:dyDescent="0.2">
      <c r="A17" s="19"/>
      <c r="C17" s="12"/>
      <c r="D17" s="9"/>
      <c r="E17" s="10"/>
      <c r="F17"/>
      <c r="G17" s="165"/>
      <c r="H17" s="10"/>
      <c r="I17" s="10"/>
    </row>
    <row r="18" spans="1:11" s="3" customFormat="1" x14ac:dyDescent="0.2">
      <c r="A18" s="19"/>
      <c r="C18" s="12"/>
      <c r="D18" s="9"/>
      <c r="E18" s="10"/>
      <c r="F18"/>
      <c r="G18" s="165"/>
      <c r="H18" s="10"/>
      <c r="I18" s="10"/>
    </row>
    <row r="19" spans="1:11" s="3" customFormat="1" x14ac:dyDescent="0.2">
      <c r="A19" s="210" t="s">
        <v>98</v>
      </c>
      <c r="D19" s="9"/>
      <c r="E19" s="10"/>
      <c r="F19" s="11"/>
      <c r="G19" s="256"/>
      <c r="H19" s="10"/>
      <c r="I19" s="10"/>
    </row>
    <row r="20" spans="1:11" s="3" customFormat="1" x14ac:dyDescent="0.2">
      <c r="A20" s="19"/>
      <c r="D20" s="9"/>
      <c r="E20" s="10"/>
      <c r="F20" s="11"/>
      <c r="G20" s="256"/>
      <c r="H20" s="10"/>
      <c r="I20" s="10"/>
    </row>
    <row r="21" spans="1:11" x14ac:dyDescent="0.2">
      <c r="A21" s="203" t="s">
        <v>587</v>
      </c>
      <c r="B21" s="6" t="s">
        <v>196</v>
      </c>
      <c r="C21" s="6" t="s">
        <v>287</v>
      </c>
      <c r="D21" s="202">
        <v>41183</v>
      </c>
      <c r="E21" s="243">
        <v>-4986.78</v>
      </c>
      <c r="F21" s="17">
        <f t="shared" ref="F21:F47" si="6">IF((YEAR($F$1)-YEAR($D21))*12+MONTH($F$1)-MONTH($D21)&gt;12,12,(YEAR($F$1)-YEAR($D21))*12+MONTH($F$1)-MONTH($D21))</f>
        <v>12</v>
      </c>
      <c r="G21" s="257">
        <f t="shared" ref="G21:G47" si="7">0.0153/12</f>
        <v>1.2749999999999999E-3</v>
      </c>
      <c r="H21" s="8">
        <f>ROUND(E21*F21*G21,2)</f>
        <v>-76.3</v>
      </c>
      <c r="I21" s="8">
        <f>ROUND(E21*G21*12,2)</f>
        <v>-76.3</v>
      </c>
    </row>
    <row r="22" spans="1:11" x14ac:dyDescent="0.2">
      <c r="A22" s="203" t="s">
        <v>587</v>
      </c>
      <c r="B22" s="6" t="s">
        <v>567</v>
      </c>
      <c r="C22" s="6" t="s">
        <v>557</v>
      </c>
      <c r="D22" s="202">
        <v>41183</v>
      </c>
      <c r="E22" s="243">
        <v>-191.21</v>
      </c>
      <c r="F22" s="17">
        <f t="shared" si="6"/>
        <v>12</v>
      </c>
      <c r="G22" s="257">
        <f t="shared" si="7"/>
        <v>1.2749999999999999E-3</v>
      </c>
      <c r="H22" s="8">
        <f t="shared" ref="H22" si="8">ROUND(E22*F22*G22,2)</f>
        <v>-2.93</v>
      </c>
      <c r="I22" s="8">
        <f t="shared" ref="I22" si="9">ROUND(E22*G22*12,2)</f>
        <v>-2.93</v>
      </c>
    </row>
    <row r="23" spans="1:11" x14ac:dyDescent="0.2">
      <c r="A23" s="207">
        <v>37600</v>
      </c>
      <c r="B23" s="238" t="s">
        <v>460</v>
      </c>
      <c r="C23" s="238" t="s">
        <v>577</v>
      </c>
      <c r="D23" s="241">
        <v>41246</v>
      </c>
      <c r="E23" s="249">
        <v>-334.17750000000001</v>
      </c>
      <c r="F23" s="240">
        <f t="shared" si="6"/>
        <v>10</v>
      </c>
      <c r="G23" s="255">
        <f t="shared" si="7"/>
        <v>1.2749999999999999E-3</v>
      </c>
      <c r="H23" s="167">
        <f t="shared" ref="H23:H47" si="10">ROUND(E23*F23*G23,2)</f>
        <v>-4.26</v>
      </c>
      <c r="I23" s="167">
        <f t="shared" ref="I23:I47" si="11">ROUND(E23*G23*12,2)</f>
        <v>-5.1100000000000003</v>
      </c>
      <c r="K23" s="57"/>
    </row>
    <row r="24" spans="1:11" x14ac:dyDescent="0.2">
      <c r="A24" s="207" t="s">
        <v>586</v>
      </c>
      <c r="B24" s="238" t="s">
        <v>434</v>
      </c>
      <c r="C24" s="238" t="s">
        <v>574</v>
      </c>
      <c r="D24" s="241">
        <v>41253</v>
      </c>
      <c r="E24" s="249">
        <v>-590.78444444444449</v>
      </c>
      <c r="F24" s="240">
        <f t="shared" si="6"/>
        <v>10</v>
      </c>
      <c r="G24" s="255">
        <f t="shared" si="7"/>
        <v>1.2749999999999999E-3</v>
      </c>
      <c r="H24" s="167">
        <f t="shared" ref="H24" si="12">ROUND(E24*F24*G24,2)</f>
        <v>-7.53</v>
      </c>
      <c r="I24" s="167">
        <f t="shared" ref="I24" si="13">ROUND(E24*G24*12,2)</f>
        <v>-9.0399999999999991</v>
      </c>
      <c r="K24" s="57"/>
    </row>
    <row r="25" spans="1:11" x14ac:dyDescent="0.2">
      <c r="A25" s="207">
        <v>37601</v>
      </c>
      <c r="B25" s="238" t="s">
        <v>458</v>
      </c>
      <c r="C25" s="238" t="s">
        <v>574</v>
      </c>
      <c r="D25" s="241">
        <v>41277</v>
      </c>
      <c r="E25" s="249">
        <v>-11.579746079163556</v>
      </c>
      <c r="F25" s="240">
        <f t="shared" si="6"/>
        <v>9</v>
      </c>
      <c r="G25" s="255">
        <f t="shared" si="7"/>
        <v>1.2749999999999999E-3</v>
      </c>
      <c r="H25" s="167">
        <f t="shared" si="10"/>
        <v>-0.13</v>
      </c>
      <c r="I25" s="167">
        <f t="shared" si="11"/>
        <v>-0.18</v>
      </c>
      <c r="K25" s="57"/>
    </row>
    <row r="26" spans="1:11" x14ac:dyDescent="0.2">
      <c r="A26" s="207">
        <v>37601</v>
      </c>
      <c r="B26" s="238" t="s">
        <v>460</v>
      </c>
      <c r="C26" s="238" t="s">
        <v>574</v>
      </c>
      <c r="D26" s="241">
        <v>41243</v>
      </c>
      <c r="E26" s="249">
        <v>-14.643780718336485</v>
      </c>
      <c r="F26" s="240">
        <f t="shared" si="6"/>
        <v>11</v>
      </c>
      <c r="G26" s="255">
        <f t="shared" si="7"/>
        <v>1.2749999999999999E-3</v>
      </c>
      <c r="H26" s="167">
        <f t="shared" si="10"/>
        <v>-0.21</v>
      </c>
      <c r="I26" s="167">
        <f t="shared" si="11"/>
        <v>-0.22</v>
      </c>
      <c r="K26" s="57"/>
    </row>
    <row r="27" spans="1:11" x14ac:dyDescent="0.2">
      <c r="A27" s="207">
        <v>37601</v>
      </c>
      <c r="B27" s="238" t="s">
        <v>460</v>
      </c>
      <c r="C27" s="238" t="s">
        <v>574</v>
      </c>
      <c r="D27" s="241">
        <v>41249</v>
      </c>
      <c r="E27" s="249">
        <v>-26.658078078078077</v>
      </c>
      <c r="F27" s="240">
        <f t="shared" si="6"/>
        <v>10</v>
      </c>
      <c r="G27" s="255">
        <f t="shared" si="7"/>
        <v>1.2749999999999999E-3</v>
      </c>
      <c r="H27" s="167">
        <f t="shared" si="10"/>
        <v>-0.34</v>
      </c>
      <c r="I27" s="167">
        <f t="shared" si="11"/>
        <v>-0.41</v>
      </c>
      <c r="K27" s="57"/>
    </row>
    <row r="28" spans="1:11" x14ac:dyDescent="0.2">
      <c r="A28" s="207">
        <v>37601</v>
      </c>
      <c r="B28" s="238" t="s">
        <v>457</v>
      </c>
      <c r="C28" s="238" t="s">
        <v>574</v>
      </c>
      <c r="D28" s="241">
        <v>41249</v>
      </c>
      <c r="E28" s="249">
        <v>-11.991157205240174</v>
      </c>
      <c r="F28" s="240">
        <f t="shared" si="6"/>
        <v>10</v>
      </c>
      <c r="G28" s="255">
        <f t="shared" si="7"/>
        <v>1.2749999999999999E-3</v>
      </c>
      <c r="H28" s="167">
        <f t="shared" si="10"/>
        <v>-0.15</v>
      </c>
      <c r="I28" s="167">
        <f t="shared" si="11"/>
        <v>-0.18</v>
      </c>
      <c r="K28" s="57"/>
    </row>
    <row r="29" spans="1:11" x14ac:dyDescent="0.2">
      <c r="A29" s="207">
        <v>37601</v>
      </c>
      <c r="B29" s="238" t="s">
        <v>463</v>
      </c>
      <c r="C29" s="238" t="s">
        <v>574</v>
      </c>
      <c r="D29" s="241">
        <v>41239</v>
      </c>
      <c r="E29" s="249">
        <v>-15.945647969052223</v>
      </c>
      <c r="F29" s="240">
        <f t="shared" si="6"/>
        <v>11</v>
      </c>
      <c r="G29" s="255">
        <f t="shared" si="7"/>
        <v>1.2749999999999999E-3</v>
      </c>
      <c r="H29" s="167">
        <f t="shared" si="10"/>
        <v>-0.22</v>
      </c>
      <c r="I29" s="167">
        <f t="shared" si="11"/>
        <v>-0.24</v>
      </c>
      <c r="K29" s="57"/>
    </row>
    <row r="30" spans="1:11" x14ac:dyDescent="0.2">
      <c r="A30" s="207">
        <v>37601</v>
      </c>
      <c r="B30" s="238" t="s">
        <v>464</v>
      </c>
      <c r="C30" s="238" t="s">
        <v>574</v>
      </c>
      <c r="D30" s="241">
        <v>41281</v>
      </c>
      <c r="E30" s="249">
        <v>-10.633131618759455</v>
      </c>
      <c r="F30" s="240">
        <f t="shared" si="6"/>
        <v>9</v>
      </c>
      <c r="G30" s="255">
        <f t="shared" si="7"/>
        <v>1.2749999999999999E-3</v>
      </c>
      <c r="H30" s="167">
        <f t="shared" si="10"/>
        <v>-0.12</v>
      </c>
      <c r="I30" s="167">
        <f t="shared" si="11"/>
        <v>-0.16</v>
      </c>
      <c r="K30" s="57"/>
    </row>
    <row r="31" spans="1:11" x14ac:dyDescent="0.2">
      <c r="A31" s="207">
        <v>37601</v>
      </c>
      <c r="B31" s="238" t="s">
        <v>463</v>
      </c>
      <c r="C31" s="238" t="s">
        <v>574</v>
      </c>
      <c r="D31" s="241">
        <v>41243</v>
      </c>
      <c r="E31" s="249">
        <v>-363.7551724137931</v>
      </c>
      <c r="F31" s="240">
        <f t="shared" si="6"/>
        <v>11</v>
      </c>
      <c r="G31" s="255">
        <f t="shared" si="7"/>
        <v>1.2749999999999999E-3</v>
      </c>
      <c r="H31" s="167">
        <f t="shared" si="10"/>
        <v>-5.0999999999999996</v>
      </c>
      <c r="I31" s="167">
        <f t="shared" si="11"/>
        <v>-5.57</v>
      </c>
      <c r="K31" s="57"/>
    </row>
    <row r="32" spans="1:11" x14ac:dyDescent="0.2">
      <c r="A32" s="207">
        <v>37601</v>
      </c>
      <c r="B32" s="238" t="s">
        <v>463</v>
      </c>
      <c r="C32" s="238" t="s">
        <v>574</v>
      </c>
      <c r="D32" s="241">
        <v>41215</v>
      </c>
      <c r="E32" s="249">
        <v>-19.802612137203166</v>
      </c>
      <c r="F32" s="240">
        <f t="shared" si="6"/>
        <v>11</v>
      </c>
      <c r="G32" s="255">
        <f t="shared" si="7"/>
        <v>1.2749999999999999E-3</v>
      </c>
      <c r="H32" s="167">
        <f t="shared" si="10"/>
        <v>-0.28000000000000003</v>
      </c>
      <c r="I32" s="167">
        <f t="shared" si="11"/>
        <v>-0.3</v>
      </c>
      <c r="K32" s="57"/>
    </row>
    <row r="33" spans="1:11" x14ac:dyDescent="0.2">
      <c r="A33" s="207">
        <v>37601</v>
      </c>
      <c r="B33" s="238" t="s">
        <v>457</v>
      </c>
      <c r="C33" s="238" t="s">
        <v>574</v>
      </c>
      <c r="D33" s="241">
        <v>41250</v>
      </c>
      <c r="E33" s="249">
        <v>-66.828907563025211</v>
      </c>
      <c r="F33" s="240">
        <f t="shared" si="6"/>
        <v>10</v>
      </c>
      <c r="G33" s="255">
        <f t="shared" si="7"/>
        <v>1.2749999999999999E-3</v>
      </c>
      <c r="H33" s="167">
        <f t="shared" si="10"/>
        <v>-0.85</v>
      </c>
      <c r="I33" s="167">
        <f t="shared" si="11"/>
        <v>-1.02</v>
      </c>
      <c r="K33" s="57"/>
    </row>
    <row r="34" spans="1:11" x14ac:dyDescent="0.2">
      <c r="A34" s="207">
        <v>37601</v>
      </c>
      <c r="B34" s="238" t="s">
        <v>410</v>
      </c>
      <c r="C34" s="238" t="s">
        <v>574</v>
      </c>
      <c r="D34" s="241">
        <v>41250</v>
      </c>
      <c r="E34" s="249">
        <v>-46.924854881266491</v>
      </c>
      <c r="F34" s="240">
        <f t="shared" si="6"/>
        <v>10</v>
      </c>
      <c r="G34" s="255">
        <f t="shared" si="7"/>
        <v>1.2749999999999999E-3</v>
      </c>
      <c r="H34" s="167">
        <f t="shared" si="10"/>
        <v>-0.6</v>
      </c>
      <c r="I34" s="167">
        <f t="shared" si="11"/>
        <v>-0.72</v>
      </c>
      <c r="K34" s="57"/>
    </row>
    <row r="35" spans="1:11" x14ac:dyDescent="0.2">
      <c r="A35" s="207">
        <v>37601</v>
      </c>
      <c r="B35" s="238" t="s">
        <v>460</v>
      </c>
      <c r="C35" s="238" t="s">
        <v>574</v>
      </c>
      <c r="D35" s="241">
        <v>41243</v>
      </c>
      <c r="E35" s="249">
        <v>-14.514285714285716</v>
      </c>
      <c r="F35" s="240">
        <f t="shared" si="6"/>
        <v>11</v>
      </c>
      <c r="G35" s="255">
        <f t="shared" si="7"/>
        <v>1.2749999999999999E-3</v>
      </c>
      <c r="H35" s="167">
        <f t="shared" si="10"/>
        <v>-0.2</v>
      </c>
      <c r="I35" s="167">
        <f t="shared" si="11"/>
        <v>-0.22</v>
      </c>
      <c r="K35" s="57"/>
    </row>
    <row r="36" spans="1:11" x14ac:dyDescent="0.2">
      <c r="A36" s="207">
        <v>37601</v>
      </c>
      <c r="B36" s="238" t="s">
        <v>463</v>
      </c>
      <c r="C36" s="238" t="s">
        <v>574</v>
      </c>
      <c r="D36" s="241">
        <v>41246</v>
      </c>
      <c r="E36" s="249">
        <v>-44.313166666666667</v>
      </c>
      <c r="F36" s="240">
        <f t="shared" si="6"/>
        <v>10</v>
      </c>
      <c r="G36" s="255">
        <f t="shared" si="7"/>
        <v>1.2749999999999999E-3</v>
      </c>
      <c r="H36" s="167">
        <f t="shared" si="10"/>
        <v>-0.56000000000000005</v>
      </c>
      <c r="I36" s="167">
        <f t="shared" si="11"/>
        <v>-0.68</v>
      </c>
      <c r="K36" s="57"/>
    </row>
    <row r="37" spans="1:11" x14ac:dyDescent="0.2">
      <c r="A37" s="207">
        <v>37602</v>
      </c>
      <c r="B37" s="238" t="s">
        <v>463</v>
      </c>
      <c r="C37" s="238" t="s">
        <v>571</v>
      </c>
      <c r="D37" s="241">
        <v>41246</v>
      </c>
      <c r="E37" s="249">
        <v>-73.603200000000001</v>
      </c>
      <c r="F37" s="240">
        <f t="shared" si="6"/>
        <v>10</v>
      </c>
      <c r="G37" s="255">
        <f t="shared" si="7"/>
        <v>1.2749999999999999E-3</v>
      </c>
      <c r="H37" s="167">
        <f t="shared" si="10"/>
        <v>-0.94</v>
      </c>
      <c r="I37" s="167">
        <f t="shared" si="11"/>
        <v>-1.1299999999999999</v>
      </c>
      <c r="K37" s="57"/>
    </row>
    <row r="38" spans="1:11" x14ac:dyDescent="0.2">
      <c r="A38" s="207">
        <v>37602</v>
      </c>
      <c r="B38" s="238" t="s">
        <v>463</v>
      </c>
      <c r="C38" s="238" t="s">
        <v>571</v>
      </c>
      <c r="D38" s="241">
        <v>41216</v>
      </c>
      <c r="E38" s="249">
        <v>-91.926285714285711</v>
      </c>
      <c r="F38" s="240">
        <f t="shared" si="6"/>
        <v>11</v>
      </c>
      <c r="G38" s="255">
        <f t="shared" si="7"/>
        <v>1.2749999999999999E-3</v>
      </c>
      <c r="H38" s="167">
        <f t="shared" si="10"/>
        <v>-1.29</v>
      </c>
      <c r="I38" s="167">
        <f t="shared" si="11"/>
        <v>-1.41</v>
      </c>
      <c r="K38" s="57"/>
    </row>
    <row r="39" spans="1:11" x14ac:dyDescent="0.2">
      <c r="A39" s="207">
        <v>37602</v>
      </c>
      <c r="B39" s="238" t="s">
        <v>463</v>
      </c>
      <c r="C39" s="238" t="s">
        <v>578</v>
      </c>
      <c r="D39" s="241">
        <v>41241</v>
      </c>
      <c r="E39" s="249">
        <v>-34.234411764705882</v>
      </c>
      <c r="F39" s="240">
        <f t="shared" si="6"/>
        <v>11</v>
      </c>
      <c r="G39" s="255">
        <f t="shared" si="7"/>
        <v>1.2749999999999999E-3</v>
      </c>
      <c r="H39" s="167">
        <f t="shared" si="10"/>
        <v>-0.48</v>
      </c>
      <c r="I39" s="167">
        <f t="shared" si="11"/>
        <v>-0.52</v>
      </c>
      <c r="K39" s="57"/>
    </row>
    <row r="40" spans="1:11" x14ac:dyDescent="0.2">
      <c r="A40" s="207">
        <v>37602</v>
      </c>
      <c r="B40" s="238" t="s">
        <v>463</v>
      </c>
      <c r="C40" s="238" t="s">
        <v>578</v>
      </c>
      <c r="D40" s="241">
        <v>41246</v>
      </c>
      <c r="E40" s="249">
        <v>-98.783333333333346</v>
      </c>
      <c r="F40" s="240">
        <f t="shared" si="6"/>
        <v>10</v>
      </c>
      <c r="G40" s="255">
        <f t="shared" si="7"/>
        <v>1.2749999999999999E-3</v>
      </c>
      <c r="H40" s="167">
        <f t="shared" si="10"/>
        <v>-1.26</v>
      </c>
      <c r="I40" s="167">
        <f t="shared" si="11"/>
        <v>-1.51</v>
      </c>
      <c r="K40" s="57"/>
    </row>
    <row r="41" spans="1:11" x14ac:dyDescent="0.2">
      <c r="A41" s="207">
        <v>37602</v>
      </c>
      <c r="B41" s="238" t="s">
        <v>463</v>
      </c>
      <c r="C41" s="238" t="s">
        <v>578</v>
      </c>
      <c r="D41" s="241">
        <v>41243</v>
      </c>
      <c r="E41" s="249">
        <v>-36.361111111111114</v>
      </c>
      <c r="F41" s="240">
        <f t="shared" si="6"/>
        <v>11</v>
      </c>
      <c r="G41" s="255">
        <f t="shared" si="7"/>
        <v>1.2749999999999999E-3</v>
      </c>
      <c r="H41" s="167">
        <f t="shared" si="10"/>
        <v>-0.51</v>
      </c>
      <c r="I41" s="167">
        <f t="shared" si="11"/>
        <v>-0.56000000000000005</v>
      </c>
      <c r="K41" s="57"/>
    </row>
    <row r="42" spans="1:11" x14ac:dyDescent="0.2">
      <c r="A42" s="207">
        <v>37602</v>
      </c>
      <c r="B42" s="238" t="s">
        <v>463</v>
      </c>
      <c r="C42" s="238" t="s">
        <v>571</v>
      </c>
      <c r="D42" s="241">
        <v>41260</v>
      </c>
      <c r="E42" s="249">
        <v>-112.47350877192983</v>
      </c>
      <c r="F42" s="240">
        <f t="shared" si="6"/>
        <v>10</v>
      </c>
      <c r="G42" s="255">
        <f t="shared" si="7"/>
        <v>1.2749999999999999E-3</v>
      </c>
      <c r="H42" s="167">
        <f t="shared" si="10"/>
        <v>-1.43</v>
      </c>
      <c r="I42" s="167">
        <f t="shared" si="11"/>
        <v>-1.72</v>
      </c>
      <c r="K42" s="57"/>
    </row>
    <row r="43" spans="1:11" x14ac:dyDescent="0.2">
      <c r="A43" s="207">
        <v>37601</v>
      </c>
      <c r="B43" s="238" t="s">
        <v>463</v>
      </c>
      <c r="C43" s="238" t="s">
        <v>575</v>
      </c>
      <c r="D43" s="241">
        <v>41225</v>
      </c>
      <c r="E43" s="249">
        <v>-71.309708737864071</v>
      </c>
      <c r="F43" s="240">
        <f t="shared" si="6"/>
        <v>11</v>
      </c>
      <c r="G43" s="255">
        <f t="shared" si="7"/>
        <v>1.2749999999999999E-3</v>
      </c>
      <c r="H43" s="167">
        <f t="shared" si="10"/>
        <v>-1</v>
      </c>
      <c r="I43" s="167">
        <f t="shared" si="11"/>
        <v>-1.0900000000000001</v>
      </c>
      <c r="K43" s="57"/>
    </row>
    <row r="44" spans="1:11" x14ac:dyDescent="0.2">
      <c r="A44" s="207">
        <v>37601</v>
      </c>
      <c r="B44" s="238" t="s">
        <v>463</v>
      </c>
      <c r="C44" s="238" t="s">
        <v>579</v>
      </c>
      <c r="D44" s="241">
        <v>41246</v>
      </c>
      <c r="E44" s="249">
        <v>-0.75447154471544708</v>
      </c>
      <c r="F44" s="240">
        <f t="shared" si="6"/>
        <v>10</v>
      </c>
      <c r="G44" s="255">
        <f t="shared" si="7"/>
        <v>1.2749999999999999E-3</v>
      </c>
      <c r="H44" s="167">
        <f t="shared" si="10"/>
        <v>-0.01</v>
      </c>
      <c r="I44" s="167">
        <f t="shared" si="11"/>
        <v>-0.01</v>
      </c>
      <c r="K44" s="57"/>
    </row>
    <row r="45" spans="1:11" x14ac:dyDescent="0.2">
      <c r="A45" s="207">
        <v>37601</v>
      </c>
      <c r="B45" s="238" t="s">
        <v>463</v>
      </c>
      <c r="C45" s="238" t="s">
        <v>580</v>
      </c>
      <c r="D45" s="241">
        <v>41260</v>
      </c>
      <c r="E45" s="249">
        <v>-682.919580884232</v>
      </c>
      <c r="F45" s="240">
        <f t="shared" si="6"/>
        <v>10</v>
      </c>
      <c r="G45" s="255">
        <f t="shared" si="7"/>
        <v>1.2749999999999999E-3</v>
      </c>
      <c r="H45" s="167">
        <f t="shared" si="10"/>
        <v>-8.7100000000000009</v>
      </c>
      <c r="I45" s="167">
        <f t="shared" si="11"/>
        <v>-10.45</v>
      </c>
      <c r="K45" s="57"/>
    </row>
    <row r="46" spans="1:11" x14ac:dyDescent="0.2">
      <c r="A46" s="207">
        <v>36701</v>
      </c>
      <c r="B46" s="238" t="s">
        <v>460</v>
      </c>
      <c r="C46" s="238" t="s">
        <v>581</v>
      </c>
      <c r="D46" s="241">
        <v>41247</v>
      </c>
      <c r="E46" s="249">
        <v>-5.6365753424657532</v>
      </c>
      <c r="F46" s="240">
        <f t="shared" si="6"/>
        <v>10</v>
      </c>
      <c r="G46" s="255">
        <f t="shared" si="7"/>
        <v>1.2749999999999999E-3</v>
      </c>
      <c r="H46" s="167">
        <f t="shared" si="10"/>
        <v>-7.0000000000000007E-2</v>
      </c>
      <c r="I46" s="167">
        <f t="shared" si="11"/>
        <v>-0.09</v>
      </c>
      <c r="K46" s="57"/>
    </row>
    <row r="47" spans="1:11" x14ac:dyDescent="0.2">
      <c r="A47" s="207">
        <v>36701</v>
      </c>
      <c r="B47" s="238" t="s">
        <v>460</v>
      </c>
      <c r="C47" s="238" t="s">
        <v>581</v>
      </c>
      <c r="D47" s="241">
        <v>41248</v>
      </c>
      <c r="E47" s="249">
        <v>-22.243636363636362</v>
      </c>
      <c r="F47" s="240">
        <f t="shared" si="6"/>
        <v>10</v>
      </c>
      <c r="G47" s="255">
        <f t="shared" si="7"/>
        <v>1.2749999999999999E-3</v>
      </c>
      <c r="H47" s="167">
        <f t="shared" si="10"/>
        <v>-0.28000000000000003</v>
      </c>
      <c r="I47" s="167">
        <f t="shared" si="11"/>
        <v>-0.34</v>
      </c>
      <c r="K47" s="57"/>
    </row>
    <row r="48" spans="1:11" x14ac:dyDescent="0.2">
      <c r="A48" s="19"/>
      <c r="B48" s="3"/>
      <c r="C48" s="3"/>
      <c r="D48" s="9"/>
      <c r="E48" s="10"/>
      <c r="F48" s="11"/>
      <c r="G48" s="256"/>
      <c r="H48" s="10"/>
      <c r="I48" s="10"/>
    </row>
    <row r="49" spans="1:11" ht="13.5" thickBot="1" x14ac:dyDescent="0.25">
      <c r="A49" s="19"/>
      <c r="B49" s="3"/>
      <c r="C49" s="12" t="s">
        <v>27</v>
      </c>
      <c r="D49" s="9"/>
      <c r="E49" s="250">
        <f>SUM(E21:E47)</f>
        <v>-7980.7883090575961</v>
      </c>
      <c r="F49" s="151"/>
      <c r="G49" s="165"/>
      <c r="H49" s="250">
        <f>SUM(H21:H47)</f>
        <v>-115.76000000000002</v>
      </c>
      <c r="I49" s="250">
        <f>SUM(I21:I47)</f>
        <v>-122.11000000000001</v>
      </c>
    </row>
    <row r="50" spans="1:11" ht="13.5" thickTop="1" x14ac:dyDescent="0.2">
      <c r="A50" s="19"/>
      <c r="B50" s="3"/>
      <c r="C50" s="12"/>
      <c r="D50" s="9"/>
      <c r="E50" s="10"/>
      <c r="G50" s="165"/>
      <c r="H50" s="10"/>
      <c r="I50" s="10"/>
    </row>
    <row r="51" spans="1:11" x14ac:dyDescent="0.2">
      <c r="A51" s="19"/>
      <c r="B51" s="3"/>
      <c r="C51" s="3"/>
      <c r="D51" s="9"/>
      <c r="E51" s="10"/>
      <c r="F51" s="11"/>
      <c r="G51" s="256"/>
      <c r="H51" s="10"/>
      <c r="I51" s="10"/>
    </row>
    <row r="52" spans="1:11" s="3" customFormat="1" x14ac:dyDescent="0.2">
      <c r="A52" s="19"/>
      <c r="D52" s="9"/>
      <c r="E52" s="10"/>
      <c r="F52" s="11"/>
      <c r="G52" s="256"/>
      <c r="H52" s="10"/>
      <c r="I52" s="10"/>
    </row>
    <row r="53" spans="1:11" x14ac:dyDescent="0.2">
      <c r="A53" s="210" t="s">
        <v>105</v>
      </c>
      <c r="B53" s="19"/>
      <c r="C53" s="3"/>
      <c r="D53" s="9"/>
      <c r="E53" s="10"/>
      <c r="F53" s="11"/>
      <c r="G53" s="256"/>
      <c r="H53" s="10"/>
      <c r="I53" s="10"/>
    </row>
    <row r="54" spans="1:11" x14ac:dyDescent="0.2">
      <c r="B54" s="19"/>
      <c r="C54" s="3"/>
      <c r="D54" s="9"/>
      <c r="E54" s="10"/>
      <c r="F54" s="11"/>
      <c r="G54" s="256"/>
      <c r="H54" s="10"/>
      <c r="I54" s="10"/>
    </row>
    <row r="55" spans="1:11" ht="25.5" x14ac:dyDescent="0.2">
      <c r="A55" s="4" t="s">
        <v>16</v>
      </c>
      <c r="B55" s="4" t="s">
        <v>17</v>
      </c>
      <c r="C55" s="4" t="s">
        <v>18</v>
      </c>
      <c r="D55" s="4" t="s">
        <v>19</v>
      </c>
      <c r="E55" s="251" t="s">
        <v>20</v>
      </c>
      <c r="F55" s="4" t="s">
        <v>21</v>
      </c>
      <c r="G55" s="157" t="s">
        <v>22</v>
      </c>
      <c r="H55" s="254" t="s">
        <v>23</v>
      </c>
      <c r="I55" s="254" t="s">
        <v>24</v>
      </c>
    </row>
    <row r="56" spans="1:11" x14ac:dyDescent="0.2">
      <c r="A56" s="203" t="s">
        <v>586</v>
      </c>
      <c r="B56" s="6" t="s">
        <v>568</v>
      </c>
      <c r="C56" s="6" t="s">
        <v>561</v>
      </c>
      <c r="D56" s="7">
        <v>41091</v>
      </c>
      <c r="E56" s="243">
        <v>-8943.6500000000015</v>
      </c>
      <c r="F56" s="17">
        <f t="shared" ref="F56:F60" si="14">IF((YEAR($F$1)-YEAR($D56))*12+MONTH($F$1)-MONTH($D56)&gt;12,12,(YEAR($F$1)-YEAR($D56))*12+MONTH($F$1)-MONTH($D56))</f>
        <v>12</v>
      </c>
      <c r="G56" s="257">
        <f t="shared" ref="G56:G60" si="15">0.0343/12</f>
        <v>2.858333333333333E-3</v>
      </c>
      <c r="H56" s="8">
        <f t="shared" ref="H56:H60" si="16">ROUND(E56*F56*G56,2)</f>
        <v>-306.77</v>
      </c>
      <c r="I56" s="8">
        <f t="shared" ref="I56:I60" si="17">ROUND(E56*G56*12,2)</f>
        <v>-306.77</v>
      </c>
    </row>
    <row r="57" spans="1:11" x14ac:dyDescent="0.2">
      <c r="A57" s="203" t="s">
        <v>587</v>
      </c>
      <c r="B57" s="6" t="s">
        <v>263</v>
      </c>
      <c r="C57" s="6" t="s">
        <v>265</v>
      </c>
      <c r="D57" s="7">
        <v>41091</v>
      </c>
      <c r="E57" s="243">
        <v>-68.3</v>
      </c>
      <c r="F57" s="17">
        <f t="shared" si="14"/>
        <v>12</v>
      </c>
      <c r="G57" s="257">
        <f t="shared" si="15"/>
        <v>2.858333333333333E-3</v>
      </c>
      <c r="H57" s="8">
        <f t="shared" si="16"/>
        <v>-2.34</v>
      </c>
      <c r="I57" s="8">
        <f t="shared" si="17"/>
        <v>-2.34</v>
      </c>
    </row>
    <row r="58" spans="1:11" x14ac:dyDescent="0.2">
      <c r="A58" s="203" t="s">
        <v>587</v>
      </c>
      <c r="B58" s="6" t="s">
        <v>569</v>
      </c>
      <c r="C58" s="6" t="s">
        <v>570</v>
      </c>
      <c r="D58" s="7">
        <v>41061</v>
      </c>
      <c r="E58" s="8">
        <v>-7682.33</v>
      </c>
      <c r="F58" s="17">
        <f t="shared" si="14"/>
        <v>12</v>
      </c>
      <c r="G58" s="257">
        <f t="shared" si="15"/>
        <v>2.858333333333333E-3</v>
      </c>
      <c r="H58" s="8">
        <f t="shared" si="16"/>
        <v>-263.5</v>
      </c>
      <c r="I58" s="8">
        <f t="shared" si="17"/>
        <v>-263.5</v>
      </c>
    </row>
    <row r="59" spans="1:11" x14ac:dyDescent="0.2">
      <c r="A59" s="203" t="s">
        <v>586</v>
      </c>
      <c r="B59" s="6" t="s">
        <v>215</v>
      </c>
      <c r="C59" s="6" t="s">
        <v>318</v>
      </c>
      <c r="D59" s="7">
        <v>41153</v>
      </c>
      <c r="E59" s="243">
        <v>-103.23</v>
      </c>
      <c r="F59" s="17">
        <f t="shared" si="14"/>
        <v>12</v>
      </c>
      <c r="G59" s="257">
        <f t="shared" si="15"/>
        <v>2.858333333333333E-3</v>
      </c>
      <c r="H59" s="8">
        <f t="shared" si="16"/>
        <v>-3.54</v>
      </c>
      <c r="I59" s="8">
        <f t="shared" si="17"/>
        <v>-3.54</v>
      </c>
    </row>
    <row r="60" spans="1:11" x14ac:dyDescent="0.2">
      <c r="A60" s="203" t="s">
        <v>586</v>
      </c>
      <c r="B60" s="6" t="s">
        <v>605</v>
      </c>
      <c r="C60" s="6" t="s">
        <v>606</v>
      </c>
      <c r="D60" s="7">
        <v>41183</v>
      </c>
      <c r="E60" s="243">
        <v>-1550.82</v>
      </c>
      <c r="F60" s="17">
        <f t="shared" si="14"/>
        <v>12</v>
      </c>
      <c r="G60" s="257">
        <f t="shared" si="15"/>
        <v>2.858333333333333E-3</v>
      </c>
      <c r="H60" s="8">
        <f t="shared" si="16"/>
        <v>-53.19</v>
      </c>
      <c r="I60" s="8">
        <f t="shared" si="17"/>
        <v>-53.19</v>
      </c>
    </row>
    <row r="61" spans="1:11" x14ac:dyDescent="0.2">
      <c r="A61" s="207">
        <v>37602</v>
      </c>
      <c r="B61" s="238" t="s">
        <v>502</v>
      </c>
      <c r="C61" s="238" t="s">
        <v>571</v>
      </c>
      <c r="D61" s="241">
        <v>41247</v>
      </c>
      <c r="E61" s="249">
        <v>-44390.147498511018</v>
      </c>
      <c r="F61" s="240">
        <f t="shared" ref="F61:F97" si="18">IF((YEAR($F$1)-YEAR($D61))*12+MONTH($F$1)-MONTH($D61)&gt;12,12,(YEAR($F$1)-YEAR($D61))*12+MONTH($F$1)-MONTH($D61))</f>
        <v>10</v>
      </c>
      <c r="G61" s="255">
        <f t="shared" ref="G61:G97" si="19">0.0343/12</f>
        <v>2.858333333333333E-3</v>
      </c>
      <c r="H61" s="167">
        <f t="shared" ref="H61:H97" si="20">ROUND(E61*F61*G61,2)</f>
        <v>-1268.82</v>
      </c>
      <c r="I61" s="167">
        <f t="shared" ref="I61:I97" si="21">ROUND(E61*G61*12,2)</f>
        <v>-1522.58</v>
      </c>
      <c r="K61" s="57"/>
    </row>
    <row r="62" spans="1:11" x14ac:dyDescent="0.2">
      <c r="A62" s="207" t="s">
        <v>586</v>
      </c>
      <c r="B62" s="238" t="s">
        <v>502</v>
      </c>
      <c r="C62" s="238" t="s">
        <v>629</v>
      </c>
      <c r="D62" s="241">
        <v>41246</v>
      </c>
      <c r="E62" s="249">
        <v>-32728.51810306199</v>
      </c>
      <c r="F62" s="240">
        <f t="shared" si="18"/>
        <v>10</v>
      </c>
      <c r="G62" s="255">
        <f t="shared" si="19"/>
        <v>2.858333333333333E-3</v>
      </c>
      <c r="H62" s="167">
        <f t="shared" ref="H62:H69" si="22">ROUND(E62*F62*G62,2)</f>
        <v>-935.49</v>
      </c>
      <c r="I62" s="167">
        <f t="shared" ref="I62:I69" si="23">ROUND(E62*G62*12,2)</f>
        <v>-1122.5899999999999</v>
      </c>
      <c r="K62" s="57"/>
    </row>
    <row r="63" spans="1:11" x14ac:dyDescent="0.2">
      <c r="A63" s="207" t="s">
        <v>586</v>
      </c>
      <c r="B63" s="238" t="s">
        <v>530</v>
      </c>
      <c r="C63" s="238" t="s">
        <v>573</v>
      </c>
      <c r="D63" s="241">
        <v>41291</v>
      </c>
      <c r="E63" s="249">
        <v>-0.91520000000000001</v>
      </c>
      <c r="F63" s="240">
        <f t="shared" si="18"/>
        <v>9</v>
      </c>
      <c r="G63" s="255">
        <f t="shared" si="19"/>
        <v>2.858333333333333E-3</v>
      </c>
      <c r="H63" s="167">
        <f t="shared" si="22"/>
        <v>-0.02</v>
      </c>
      <c r="I63" s="167">
        <f t="shared" si="23"/>
        <v>-0.03</v>
      </c>
      <c r="K63" s="57"/>
    </row>
    <row r="64" spans="1:11" x14ac:dyDescent="0.2">
      <c r="A64" s="207" t="s">
        <v>586</v>
      </c>
      <c r="B64" s="238" t="s">
        <v>530</v>
      </c>
      <c r="C64" s="238" t="s">
        <v>573</v>
      </c>
      <c r="D64" s="241">
        <v>41282</v>
      </c>
      <c r="E64" s="249">
        <v>-118.08342857142857</v>
      </c>
      <c r="F64" s="240">
        <f t="shared" si="18"/>
        <v>9</v>
      </c>
      <c r="G64" s="255">
        <f t="shared" si="19"/>
        <v>2.858333333333333E-3</v>
      </c>
      <c r="H64" s="167">
        <f t="shared" si="22"/>
        <v>-3.04</v>
      </c>
      <c r="I64" s="167">
        <f t="shared" si="23"/>
        <v>-4.05</v>
      </c>
      <c r="K64" s="57"/>
    </row>
    <row r="65" spans="1:11" x14ac:dyDescent="0.2">
      <c r="A65" s="207" t="s">
        <v>587</v>
      </c>
      <c r="B65" s="238" t="s">
        <v>530</v>
      </c>
      <c r="C65" s="238" t="s">
        <v>583</v>
      </c>
      <c r="D65" s="241">
        <v>41283</v>
      </c>
      <c r="E65" s="249">
        <v>-1445.7497391304348</v>
      </c>
      <c r="F65" s="240">
        <f t="shared" si="18"/>
        <v>9</v>
      </c>
      <c r="G65" s="255">
        <f t="shared" si="19"/>
        <v>2.858333333333333E-3</v>
      </c>
      <c r="H65" s="167">
        <f t="shared" si="22"/>
        <v>-37.19</v>
      </c>
      <c r="I65" s="167">
        <f t="shared" si="23"/>
        <v>-49.59</v>
      </c>
      <c r="K65" s="57"/>
    </row>
    <row r="66" spans="1:11" x14ac:dyDescent="0.2">
      <c r="A66" s="207" t="s">
        <v>587</v>
      </c>
      <c r="B66" s="238" t="s">
        <v>530</v>
      </c>
      <c r="C66" s="238" t="s">
        <v>571</v>
      </c>
      <c r="D66" s="241">
        <v>41283</v>
      </c>
      <c r="E66" s="249">
        <v>-2613.3540983606554</v>
      </c>
      <c r="F66" s="240">
        <f t="shared" si="18"/>
        <v>9</v>
      </c>
      <c r="G66" s="255">
        <f t="shared" si="19"/>
        <v>2.858333333333333E-3</v>
      </c>
      <c r="H66" s="167">
        <f t="shared" si="22"/>
        <v>-67.23</v>
      </c>
      <c r="I66" s="167">
        <f t="shared" si="23"/>
        <v>-89.64</v>
      </c>
      <c r="K66" s="57"/>
    </row>
    <row r="67" spans="1:11" x14ac:dyDescent="0.2">
      <c r="A67" s="207" t="s">
        <v>587</v>
      </c>
      <c r="B67" s="238" t="s">
        <v>530</v>
      </c>
      <c r="C67" s="238" t="s">
        <v>571</v>
      </c>
      <c r="D67" s="241">
        <v>41283</v>
      </c>
      <c r="E67" s="249">
        <v>-94.647679083094559</v>
      </c>
      <c r="F67" s="240">
        <f t="shared" si="18"/>
        <v>9</v>
      </c>
      <c r="G67" s="255">
        <f t="shared" si="19"/>
        <v>2.858333333333333E-3</v>
      </c>
      <c r="H67" s="167">
        <f t="shared" si="22"/>
        <v>-2.4300000000000002</v>
      </c>
      <c r="I67" s="167">
        <f t="shared" si="23"/>
        <v>-3.25</v>
      </c>
      <c r="K67" s="57"/>
    </row>
    <row r="68" spans="1:11" x14ac:dyDescent="0.2">
      <c r="A68" s="207" t="s">
        <v>587</v>
      </c>
      <c r="B68" s="238" t="s">
        <v>533</v>
      </c>
      <c r="C68" s="238" t="s">
        <v>571</v>
      </c>
      <c r="D68" s="241">
        <v>41358</v>
      </c>
      <c r="E68" s="249">
        <v>-242.45356608478801</v>
      </c>
      <c r="F68" s="240">
        <f t="shared" si="18"/>
        <v>7</v>
      </c>
      <c r="G68" s="255">
        <f t="shared" si="19"/>
        <v>2.858333333333333E-3</v>
      </c>
      <c r="H68" s="167">
        <f t="shared" si="22"/>
        <v>-4.8499999999999996</v>
      </c>
      <c r="I68" s="167">
        <f t="shared" si="23"/>
        <v>-8.32</v>
      </c>
      <c r="K68" s="57"/>
    </row>
    <row r="69" spans="1:11" x14ac:dyDescent="0.2">
      <c r="A69" s="207" t="s">
        <v>586</v>
      </c>
      <c r="B69" s="238" t="s">
        <v>630</v>
      </c>
      <c r="C69" s="238" t="s">
        <v>574</v>
      </c>
      <c r="D69" s="241">
        <v>41402</v>
      </c>
      <c r="E69" s="249">
        <v>-2.9117647058823533</v>
      </c>
      <c r="F69" s="240">
        <f t="shared" si="18"/>
        <v>5</v>
      </c>
      <c r="G69" s="255">
        <f t="shared" si="19"/>
        <v>2.858333333333333E-3</v>
      </c>
      <c r="H69" s="167">
        <f t="shared" si="22"/>
        <v>-0.04</v>
      </c>
      <c r="I69" s="167">
        <f t="shared" si="23"/>
        <v>-0.1</v>
      </c>
      <c r="K69" s="57"/>
    </row>
    <row r="70" spans="1:11" x14ac:dyDescent="0.2">
      <c r="A70" s="207">
        <v>37602</v>
      </c>
      <c r="B70" s="238" t="s">
        <v>529</v>
      </c>
      <c r="C70" s="238" t="s">
        <v>571</v>
      </c>
      <c r="D70" s="241">
        <v>41250</v>
      </c>
      <c r="E70" s="249">
        <v>-968.17</v>
      </c>
      <c r="F70" s="240">
        <f t="shared" si="18"/>
        <v>10</v>
      </c>
      <c r="G70" s="255">
        <f t="shared" si="19"/>
        <v>2.858333333333333E-3</v>
      </c>
      <c r="H70" s="167">
        <f t="shared" si="20"/>
        <v>-27.67</v>
      </c>
      <c r="I70" s="167">
        <f t="shared" si="21"/>
        <v>-33.21</v>
      </c>
      <c r="K70" s="57"/>
    </row>
    <row r="71" spans="1:11" x14ac:dyDescent="0.2">
      <c r="A71" s="207">
        <v>37602</v>
      </c>
      <c r="B71" s="238" t="s">
        <v>529</v>
      </c>
      <c r="C71" s="238" t="s">
        <v>583</v>
      </c>
      <c r="D71" s="241">
        <v>41256</v>
      </c>
      <c r="E71" s="249">
        <v>-221.79537634408607</v>
      </c>
      <c r="F71" s="240">
        <f t="shared" si="18"/>
        <v>10</v>
      </c>
      <c r="G71" s="255">
        <f t="shared" si="19"/>
        <v>2.858333333333333E-3</v>
      </c>
      <c r="H71" s="167">
        <f t="shared" si="20"/>
        <v>-6.34</v>
      </c>
      <c r="I71" s="167">
        <f t="shared" si="21"/>
        <v>-7.61</v>
      </c>
      <c r="K71" s="57"/>
    </row>
    <row r="72" spans="1:11" x14ac:dyDescent="0.2">
      <c r="A72" s="207">
        <v>37602</v>
      </c>
      <c r="B72" s="238" t="s">
        <v>529</v>
      </c>
      <c r="C72" s="238" t="s">
        <v>571</v>
      </c>
      <c r="D72" s="241">
        <v>41250</v>
      </c>
      <c r="E72" s="249">
        <v>-474.29469387755103</v>
      </c>
      <c r="F72" s="240">
        <f t="shared" si="18"/>
        <v>10</v>
      </c>
      <c r="G72" s="255">
        <f t="shared" si="19"/>
        <v>2.858333333333333E-3</v>
      </c>
      <c r="H72" s="167">
        <f t="shared" si="20"/>
        <v>-13.56</v>
      </c>
      <c r="I72" s="167">
        <f t="shared" si="21"/>
        <v>-16.27</v>
      </c>
      <c r="K72" s="57"/>
    </row>
    <row r="73" spans="1:11" x14ac:dyDescent="0.2">
      <c r="A73" s="207">
        <v>37602</v>
      </c>
      <c r="B73" s="238" t="s">
        <v>529</v>
      </c>
      <c r="C73" s="238" t="s">
        <v>583</v>
      </c>
      <c r="D73" s="241">
        <v>41250</v>
      </c>
      <c r="E73" s="249">
        <v>-749.55716814159291</v>
      </c>
      <c r="F73" s="240">
        <f t="shared" si="18"/>
        <v>10</v>
      </c>
      <c r="G73" s="255">
        <f t="shared" si="19"/>
        <v>2.858333333333333E-3</v>
      </c>
      <c r="H73" s="167">
        <f t="shared" si="20"/>
        <v>-21.42</v>
      </c>
      <c r="I73" s="167">
        <f t="shared" si="21"/>
        <v>-25.71</v>
      </c>
      <c r="K73" s="57"/>
    </row>
    <row r="74" spans="1:11" x14ac:dyDescent="0.2">
      <c r="A74" s="207">
        <v>37601</v>
      </c>
      <c r="B74" s="238" t="s">
        <v>529</v>
      </c>
      <c r="C74" s="238" t="s">
        <v>575</v>
      </c>
      <c r="D74" s="241">
        <v>41269</v>
      </c>
      <c r="E74" s="249">
        <v>-5.1084581497797359</v>
      </c>
      <c r="F74" s="240">
        <f t="shared" si="18"/>
        <v>10</v>
      </c>
      <c r="G74" s="255">
        <f t="shared" si="19"/>
        <v>2.858333333333333E-3</v>
      </c>
      <c r="H74" s="167">
        <f t="shared" si="20"/>
        <v>-0.15</v>
      </c>
      <c r="I74" s="167">
        <f t="shared" si="21"/>
        <v>-0.18</v>
      </c>
      <c r="K74" s="57"/>
    </row>
    <row r="75" spans="1:11" x14ac:dyDescent="0.2">
      <c r="A75" s="207">
        <v>37601</v>
      </c>
      <c r="B75" s="238" t="s">
        <v>526</v>
      </c>
      <c r="C75" s="238" t="s">
        <v>576</v>
      </c>
      <c r="D75" s="241">
        <v>41257</v>
      </c>
      <c r="E75" s="249">
        <v>-17.191730769230769</v>
      </c>
      <c r="F75" s="240">
        <f t="shared" si="18"/>
        <v>10</v>
      </c>
      <c r="G75" s="255">
        <f t="shared" si="19"/>
        <v>2.858333333333333E-3</v>
      </c>
      <c r="H75" s="167">
        <f t="shared" si="20"/>
        <v>-0.49</v>
      </c>
      <c r="I75" s="167">
        <f t="shared" si="21"/>
        <v>-0.59</v>
      </c>
      <c r="K75" s="57"/>
    </row>
    <row r="76" spans="1:11" x14ac:dyDescent="0.2">
      <c r="A76" s="207">
        <v>37601</v>
      </c>
      <c r="B76" s="238" t="s">
        <v>526</v>
      </c>
      <c r="C76" s="238" t="s">
        <v>574</v>
      </c>
      <c r="D76" s="241">
        <v>41257</v>
      </c>
      <c r="E76" s="249">
        <v>-4.6664788732394369</v>
      </c>
      <c r="F76" s="240">
        <f t="shared" si="18"/>
        <v>10</v>
      </c>
      <c r="G76" s="255">
        <f t="shared" si="19"/>
        <v>2.858333333333333E-3</v>
      </c>
      <c r="H76" s="167">
        <f t="shared" si="20"/>
        <v>-0.13</v>
      </c>
      <c r="I76" s="167">
        <f t="shared" si="21"/>
        <v>-0.16</v>
      </c>
      <c r="K76" s="57"/>
    </row>
    <row r="77" spans="1:11" x14ac:dyDescent="0.2">
      <c r="A77" s="207">
        <v>37602</v>
      </c>
      <c r="B77" s="238" t="s">
        <v>529</v>
      </c>
      <c r="C77" s="238" t="s">
        <v>571</v>
      </c>
      <c r="D77" s="241">
        <v>41253</v>
      </c>
      <c r="E77" s="249">
        <v>-413.59127272727272</v>
      </c>
      <c r="F77" s="240">
        <f t="shared" si="18"/>
        <v>10</v>
      </c>
      <c r="G77" s="255">
        <f t="shared" si="19"/>
        <v>2.858333333333333E-3</v>
      </c>
      <c r="H77" s="167">
        <f t="shared" si="20"/>
        <v>-11.82</v>
      </c>
      <c r="I77" s="167">
        <f t="shared" si="21"/>
        <v>-14.19</v>
      </c>
      <c r="K77" s="57"/>
    </row>
    <row r="78" spans="1:11" x14ac:dyDescent="0.2">
      <c r="A78" s="207">
        <v>37602</v>
      </c>
      <c r="B78" s="238" t="s">
        <v>529</v>
      </c>
      <c r="C78" s="238" t="s">
        <v>571</v>
      </c>
      <c r="D78" s="241">
        <v>41250</v>
      </c>
      <c r="E78" s="249">
        <v>-8.1000000000000014</v>
      </c>
      <c r="F78" s="240">
        <f t="shared" si="18"/>
        <v>10</v>
      </c>
      <c r="G78" s="255">
        <f t="shared" si="19"/>
        <v>2.858333333333333E-3</v>
      </c>
      <c r="H78" s="167">
        <f t="shared" si="20"/>
        <v>-0.23</v>
      </c>
      <c r="I78" s="167">
        <f t="shared" si="21"/>
        <v>-0.28000000000000003</v>
      </c>
      <c r="K78" s="57"/>
    </row>
    <row r="79" spans="1:11" x14ac:dyDescent="0.2">
      <c r="A79" s="207">
        <v>37601</v>
      </c>
      <c r="B79" s="238" t="s">
        <v>529</v>
      </c>
      <c r="C79" s="238" t="s">
        <v>574</v>
      </c>
      <c r="D79" s="241">
        <v>41255</v>
      </c>
      <c r="E79" s="249">
        <v>-36.503378378378379</v>
      </c>
      <c r="F79" s="240">
        <f t="shared" si="18"/>
        <v>10</v>
      </c>
      <c r="G79" s="255">
        <f t="shared" si="19"/>
        <v>2.858333333333333E-3</v>
      </c>
      <c r="H79" s="167">
        <f t="shared" si="20"/>
        <v>-1.04</v>
      </c>
      <c r="I79" s="167">
        <f t="shared" si="21"/>
        <v>-1.25</v>
      </c>
      <c r="K79" s="57"/>
    </row>
    <row r="80" spans="1:11" x14ac:dyDescent="0.2">
      <c r="A80" s="207">
        <v>37601</v>
      </c>
      <c r="B80" s="238" t="s">
        <v>529</v>
      </c>
      <c r="C80" s="238" t="s">
        <v>575</v>
      </c>
      <c r="D80" s="241">
        <v>41253</v>
      </c>
      <c r="E80" s="249">
        <v>-103.62946859903383</v>
      </c>
      <c r="F80" s="240">
        <f t="shared" si="18"/>
        <v>10</v>
      </c>
      <c r="G80" s="255">
        <f t="shared" si="19"/>
        <v>2.858333333333333E-3</v>
      </c>
      <c r="H80" s="167">
        <f t="shared" si="20"/>
        <v>-2.96</v>
      </c>
      <c r="I80" s="167">
        <f t="shared" si="21"/>
        <v>-3.55</v>
      </c>
      <c r="K80" s="57"/>
    </row>
    <row r="81" spans="1:11" x14ac:dyDescent="0.2">
      <c r="A81" s="207">
        <v>37601</v>
      </c>
      <c r="B81" s="238" t="s">
        <v>533</v>
      </c>
      <c r="C81" s="238" t="s">
        <v>574</v>
      </c>
      <c r="D81" s="241">
        <v>41303</v>
      </c>
      <c r="E81" s="249">
        <v>-0.24795918367346942</v>
      </c>
      <c r="F81" s="240">
        <f t="shared" si="18"/>
        <v>9</v>
      </c>
      <c r="G81" s="255">
        <f t="shared" si="19"/>
        <v>2.858333333333333E-3</v>
      </c>
      <c r="H81" s="167">
        <f t="shared" si="20"/>
        <v>-0.01</v>
      </c>
      <c r="I81" s="167">
        <f t="shared" si="21"/>
        <v>-0.01</v>
      </c>
      <c r="K81" s="57"/>
    </row>
    <row r="82" spans="1:11" x14ac:dyDescent="0.2">
      <c r="A82" s="207">
        <v>37601</v>
      </c>
      <c r="B82" s="238" t="s">
        <v>460</v>
      </c>
      <c r="C82" s="238" t="s">
        <v>574</v>
      </c>
      <c r="D82" s="241">
        <v>41215</v>
      </c>
      <c r="E82" s="249">
        <v>-114.70824615384616</v>
      </c>
      <c r="F82" s="240">
        <f t="shared" si="18"/>
        <v>11</v>
      </c>
      <c r="G82" s="255">
        <f t="shared" si="19"/>
        <v>2.858333333333333E-3</v>
      </c>
      <c r="H82" s="167">
        <f t="shared" si="20"/>
        <v>-3.61</v>
      </c>
      <c r="I82" s="167">
        <f t="shared" si="21"/>
        <v>-3.93</v>
      </c>
      <c r="K82" s="57"/>
    </row>
    <row r="83" spans="1:11" x14ac:dyDescent="0.2">
      <c r="A83" s="207">
        <v>37601</v>
      </c>
      <c r="B83" s="238" t="s">
        <v>533</v>
      </c>
      <c r="C83" s="238" t="s">
        <v>574</v>
      </c>
      <c r="D83" s="241">
        <v>41360</v>
      </c>
      <c r="E83" s="249">
        <v>-44.230753564154789</v>
      </c>
      <c r="F83" s="240">
        <f t="shared" si="18"/>
        <v>7</v>
      </c>
      <c r="G83" s="255">
        <f t="shared" si="19"/>
        <v>2.858333333333333E-3</v>
      </c>
      <c r="H83" s="167">
        <f t="shared" si="20"/>
        <v>-0.88</v>
      </c>
      <c r="I83" s="167">
        <f t="shared" si="21"/>
        <v>-1.52</v>
      </c>
      <c r="K83" s="57"/>
    </row>
    <row r="84" spans="1:11" x14ac:dyDescent="0.2">
      <c r="A84" s="207">
        <v>37601</v>
      </c>
      <c r="B84" s="238" t="s">
        <v>534</v>
      </c>
      <c r="C84" s="238" t="s">
        <v>574</v>
      </c>
      <c r="D84" s="241">
        <v>41368</v>
      </c>
      <c r="E84" s="249">
        <v>-4.7995081967213116</v>
      </c>
      <c r="F84" s="240">
        <f t="shared" si="18"/>
        <v>6</v>
      </c>
      <c r="G84" s="255">
        <f t="shared" si="19"/>
        <v>2.858333333333333E-3</v>
      </c>
      <c r="H84" s="167">
        <f t="shared" si="20"/>
        <v>-0.08</v>
      </c>
      <c r="I84" s="167">
        <f t="shared" si="21"/>
        <v>-0.16</v>
      </c>
      <c r="K84" s="57"/>
    </row>
    <row r="85" spans="1:11" x14ac:dyDescent="0.2">
      <c r="A85" s="207">
        <v>37601</v>
      </c>
      <c r="B85" s="238" t="s">
        <v>533</v>
      </c>
      <c r="C85" s="238" t="s">
        <v>574</v>
      </c>
      <c r="D85" s="241">
        <v>41320</v>
      </c>
      <c r="E85" s="249">
        <v>-41.892256097560974</v>
      </c>
      <c r="F85" s="240">
        <f t="shared" si="18"/>
        <v>8</v>
      </c>
      <c r="G85" s="255">
        <f t="shared" si="19"/>
        <v>2.858333333333333E-3</v>
      </c>
      <c r="H85" s="167">
        <f t="shared" si="20"/>
        <v>-0.96</v>
      </c>
      <c r="I85" s="167">
        <f t="shared" si="21"/>
        <v>-1.44</v>
      </c>
      <c r="K85" s="57"/>
    </row>
    <row r="86" spans="1:11" x14ac:dyDescent="0.2">
      <c r="A86" s="207">
        <v>37601</v>
      </c>
      <c r="B86" s="238" t="s">
        <v>533</v>
      </c>
      <c r="C86" s="238" t="s">
        <v>574</v>
      </c>
      <c r="D86" s="241">
        <v>41278</v>
      </c>
      <c r="E86" s="249">
        <v>-57.957827476038332</v>
      </c>
      <c r="F86" s="240">
        <f t="shared" si="18"/>
        <v>9</v>
      </c>
      <c r="G86" s="255">
        <f t="shared" si="19"/>
        <v>2.858333333333333E-3</v>
      </c>
      <c r="H86" s="167">
        <f t="shared" si="20"/>
        <v>-1.49</v>
      </c>
      <c r="I86" s="167">
        <f t="shared" si="21"/>
        <v>-1.99</v>
      </c>
      <c r="K86" s="57"/>
    </row>
    <row r="87" spans="1:11" x14ac:dyDescent="0.2">
      <c r="A87" s="207">
        <v>37601</v>
      </c>
      <c r="B87" s="238" t="s">
        <v>534</v>
      </c>
      <c r="C87" s="238" t="s">
        <v>574</v>
      </c>
      <c r="D87" s="241">
        <v>41369</v>
      </c>
      <c r="E87" s="249">
        <v>-47.969868613138694</v>
      </c>
      <c r="F87" s="240">
        <f t="shared" si="18"/>
        <v>6</v>
      </c>
      <c r="G87" s="255">
        <f t="shared" si="19"/>
        <v>2.858333333333333E-3</v>
      </c>
      <c r="H87" s="167">
        <f t="shared" si="20"/>
        <v>-0.82</v>
      </c>
      <c r="I87" s="167">
        <f t="shared" si="21"/>
        <v>-1.65</v>
      </c>
      <c r="K87" s="57"/>
    </row>
    <row r="88" spans="1:11" x14ac:dyDescent="0.2">
      <c r="A88" s="207">
        <v>37601</v>
      </c>
      <c r="B88" s="238" t="s">
        <v>533</v>
      </c>
      <c r="C88" s="238" t="s">
        <v>574</v>
      </c>
      <c r="D88" s="241">
        <v>41362</v>
      </c>
      <c r="E88" s="249">
        <v>-103.81733333333334</v>
      </c>
      <c r="F88" s="240">
        <f t="shared" si="18"/>
        <v>7</v>
      </c>
      <c r="G88" s="255">
        <f t="shared" si="19"/>
        <v>2.858333333333333E-3</v>
      </c>
      <c r="H88" s="167">
        <f t="shared" si="20"/>
        <v>-2.08</v>
      </c>
      <c r="I88" s="167">
        <f t="shared" si="21"/>
        <v>-3.56</v>
      </c>
      <c r="K88" s="57"/>
    </row>
    <row r="89" spans="1:11" x14ac:dyDescent="0.2">
      <c r="A89" s="207">
        <v>37601</v>
      </c>
      <c r="B89" s="238" t="s">
        <v>533</v>
      </c>
      <c r="C89" s="238" t="s">
        <v>574</v>
      </c>
      <c r="D89" s="241">
        <v>41323</v>
      </c>
      <c r="E89" s="249">
        <v>-130.31290322580645</v>
      </c>
      <c r="F89" s="240">
        <f t="shared" si="18"/>
        <v>8</v>
      </c>
      <c r="G89" s="255">
        <f t="shared" si="19"/>
        <v>2.858333333333333E-3</v>
      </c>
      <c r="H89" s="167">
        <f t="shared" si="20"/>
        <v>-2.98</v>
      </c>
      <c r="I89" s="167">
        <f t="shared" si="21"/>
        <v>-4.47</v>
      </c>
      <c r="K89" s="57"/>
    </row>
    <row r="90" spans="1:11" x14ac:dyDescent="0.2">
      <c r="A90" s="207">
        <v>37601</v>
      </c>
      <c r="B90" s="238" t="s">
        <v>534</v>
      </c>
      <c r="C90" s="238" t="s">
        <v>574</v>
      </c>
      <c r="D90" s="241">
        <v>41379</v>
      </c>
      <c r="E90" s="249">
        <v>-38.117894736842111</v>
      </c>
      <c r="F90" s="240">
        <f t="shared" si="18"/>
        <v>6</v>
      </c>
      <c r="G90" s="255">
        <f t="shared" si="19"/>
        <v>2.858333333333333E-3</v>
      </c>
      <c r="H90" s="167">
        <f t="shared" si="20"/>
        <v>-0.65</v>
      </c>
      <c r="I90" s="167">
        <f t="shared" si="21"/>
        <v>-1.31</v>
      </c>
      <c r="K90" s="57"/>
    </row>
    <row r="91" spans="1:11" x14ac:dyDescent="0.2">
      <c r="A91" s="207">
        <v>37601</v>
      </c>
      <c r="B91" s="238" t="s">
        <v>534</v>
      </c>
      <c r="C91" s="238" t="s">
        <v>574</v>
      </c>
      <c r="D91" s="241">
        <v>41380</v>
      </c>
      <c r="E91" s="249">
        <v>-8.9512195121951219</v>
      </c>
      <c r="F91" s="240">
        <f t="shared" si="18"/>
        <v>6</v>
      </c>
      <c r="G91" s="255">
        <f t="shared" si="19"/>
        <v>2.858333333333333E-3</v>
      </c>
      <c r="H91" s="167">
        <f t="shared" si="20"/>
        <v>-0.15</v>
      </c>
      <c r="I91" s="167">
        <f t="shared" si="21"/>
        <v>-0.31</v>
      </c>
      <c r="K91" s="57"/>
    </row>
    <row r="92" spans="1:11" x14ac:dyDescent="0.2">
      <c r="A92" s="207">
        <v>37601</v>
      </c>
      <c r="B92" s="238" t="s">
        <v>460</v>
      </c>
      <c r="C92" s="238" t="s">
        <v>574</v>
      </c>
      <c r="D92" s="241">
        <v>41260</v>
      </c>
      <c r="E92" s="249">
        <v>-19.765632458233888</v>
      </c>
      <c r="F92" s="240">
        <f t="shared" si="18"/>
        <v>10</v>
      </c>
      <c r="G92" s="255">
        <f t="shared" si="19"/>
        <v>2.858333333333333E-3</v>
      </c>
      <c r="H92" s="167">
        <f t="shared" si="20"/>
        <v>-0.56000000000000005</v>
      </c>
      <c r="I92" s="167">
        <f t="shared" si="21"/>
        <v>-0.68</v>
      </c>
      <c r="K92" s="57"/>
    </row>
    <row r="93" spans="1:11" x14ac:dyDescent="0.2">
      <c r="A93" s="207">
        <v>37601</v>
      </c>
      <c r="B93" s="238" t="s">
        <v>533</v>
      </c>
      <c r="C93" s="238" t="s">
        <v>574</v>
      </c>
      <c r="D93" s="241">
        <v>41320</v>
      </c>
      <c r="E93" s="249">
        <v>-19.688101265822784</v>
      </c>
      <c r="F93" s="240">
        <f t="shared" si="18"/>
        <v>8</v>
      </c>
      <c r="G93" s="255">
        <f t="shared" si="19"/>
        <v>2.858333333333333E-3</v>
      </c>
      <c r="H93" s="167">
        <f t="shared" si="20"/>
        <v>-0.45</v>
      </c>
      <c r="I93" s="167">
        <f t="shared" si="21"/>
        <v>-0.68</v>
      </c>
      <c r="K93" s="57"/>
    </row>
    <row r="94" spans="1:11" x14ac:dyDescent="0.2">
      <c r="A94" s="207">
        <v>37601</v>
      </c>
      <c r="B94" s="238" t="s">
        <v>533</v>
      </c>
      <c r="C94" s="238" t="s">
        <v>576</v>
      </c>
      <c r="D94" s="241">
        <v>41361</v>
      </c>
      <c r="E94" s="249">
        <v>-15.932860824742269</v>
      </c>
      <c r="F94" s="240">
        <f t="shared" si="18"/>
        <v>7</v>
      </c>
      <c r="G94" s="255">
        <f t="shared" si="19"/>
        <v>2.858333333333333E-3</v>
      </c>
      <c r="H94" s="167">
        <f t="shared" si="20"/>
        <v>-0.32</v>
      </c>
      <c r="I94" s="167">
        <f t="shared" si="21"/>
        <v>-0.55000000000000004</v>
      </c>
      <c r="K94" s="57"/>
    </row>
    <row r="95" spans="1:11" x14ac:dyDescent="0.2">
      <c r="A95" s="207">
        <v>37602</v>
      </c>
      <c r="B95" s="238" t="s">
        <v>518</v>
      </c>
      <c r="C95" s="238" t="s">
        <v>571</v>
      </c>
      <c r="D95" s="241">
        <v>41290</v>
      </c>
      <c r="E95" s="249">
        <v>-80.174418604651166</v>
      </c>
      <c r="F95" s="240">
        <f t="shared" si="18"/>
        <v>9</v>
      </c>
      <c r="G95" s="255">
        <f t="shared" si="19"/>
        <v>2.858333333333333E-3</v>
      </c>
      <c r="H95" s="167">
        <f t="shared" si="20"/>
        <v>-2.06</v>
      </c>
      <c r="I95" s="167">
        <f t="shared" si="21"/>
        <v>-2.75</v>
      </c>
      <c r="K95" s="57"/>
    </row>
    <row r="96" spans="1:11" x14ac:dyDescent="0.2">
      <c r="A96" s="207">
        <v>37602</v>
      </c>
      <c r="B96" s="238" t="s">
        <v>533</v>
      </c>
      <c r="C96" s="238" t="s">
        <v>571</v>
      </c>
      <c r="D96" s="241">
        <v>41290</v>
      </c>
      <c r="E96" s="249">
        <v>-109.30452961672474</v>
      </c>
      <c r="F96" s="240">
        <f t="shared" si="18"/>
        <v>9</v>
      </c>
      <c r="G96" s="255">
        <f t="shared" si="19"/>
        <v>2.858333333333333E-3</v>
      </c>
      <c r="H96" s="167">
        <f t="shared" si="20"/>
        <v>-2.81</v>
      </c>
      <c r="I96" s="167">
        <f t="shared" si="21"/>
        <v>-3.75</v>
      </c>
      <c r="K96" s="57"/>
    </row>
    <row r="97" spans="1:11" x14ac:dyDescent="0.2">
      <c r="A97" s="207">
        <v>37602</v>
      </c>
      <c r="B97" s="238" t="s">
        <v>534</v>
      </c>
      <c r="C97" s="238" t="s">
        <v>571</v>
      </c>
      <c r="D97" s="241">
        <v>41400</v>
      </c>
      <c r="E97" s="249">
        <v>-30.475312500000001</v>
      </c>
      <c r="F97" s="240">
        <f t="shared" si="18"/>
        <v>5</v>
      </c>
      <c r="G97" s="255">
        <f t="shared" si="19"/>
        <v>2.858333333333333E-3</v>
      </c>
      <c r="H97" s="167">
        <f t="shared" si="20"/>
        <v>-0.44</v>
      </c>
      <c r="I97" s="167">
        <f t="shared" si="21"/>
        <v>-1.05</v>
      </c>
      <c r="K97" s="57"/>
    </row>
    <row r="98" spans="1:11" x14ac:dyDescent="0.2">
      <c r="A98" s="19"/>
      <c r="B98" s="19"/>
      <c r="C98" s="3"/>
      <c r="D98" s="9"/>
      <c r="E98" s="10"/>
      <c r="F98" s="11"/>
      <c r="G98" s="256"/>
      <c r="H98" s="10"/>
      <c r="I98" s="10"/>
    </row>
    <row r="99" spans="1:11" ht="13.5" thickBot="1" x14ac:dyDescent="0.25">
      <c r="A99" s="19"/>
      <c r="B99" s="19"/>
      <c r="C99" s="12" t="s">
        <v>29</v>
      </c>
      <c r="D99" s="9"/>
      <c r="E99" s="250">
        <f>SUM(E56:E97)</f>
        <v>-103856.06572873298</v>
      </c>
      <c r="F99" s="151"/>
      <c r="G99" s="256"/>
      <c r="H99" s="250">
        <f>SUM(H56:H97)</f>
        <v>-3054.61</v>
      </c>
      <c r="I99" s="250">
        <f>SUM(I56:I97)</f>
        <v>-3562.3000000000006</v>
      </c>
    </row>
    <row r="100" spans="1:11" ht="13.5" thickTop="1" x14ac:dyDescent="0.2">
      <c r="A100" s="19"/>
      <c r="B100" s="19"/>
      <c r="C100" s="12"/>
      <c r="D100" s="9"/>
      <c r="E100" s="10"/>
      <c r="F100" s="11"/>
      <c r="G100" s="256"/>
      <c r="H100" s="10"/>
      <c r="I100" s="10"/>
    </row>
    <row r="101" spans="1:11" ht="13.5" thickBot="1" x14ac:dyDescent="0.25">
      <c r="A101" s="19"/>
      <c r="B101" s="19"/>
      <c r="C101" s="12" t="s">
        <v>43</v>
      </c>
      <c r="D101" s="9"/>
      <c r="E101" s="252">
        <f>E99+E49+E15</f>
        <v>-119652.10017671742</v>
      </c>
      <c r="F101" s="20"/>
      <c r="G101" s="164"/>
      <c r="H101" s="252">
        <f>H99+H49+H15</f>
        <v>-3234.6700000000005</v>
      </c>
      <c r="I101" s="252">
        <f>I99+I49+I15</f>
        <v>-3803.9800000000009</v>
      </c>
    </row>
    <row r="102" spans="1:11" ht="13.5" thickTop="1" x14ac:dyDescent="0.2">
      <c r="A102" s="19"/>
      <c r="B102" s="19"/>
      <c r="C102" s="12"/>
      <c r="D102" s="9"/>
      <c r="E102" s="59"/>
      <c r="F102" s="20"/>
      <c r="G102" s="164"/>
      <c r="H102" s="59"/>
      <c r="I102" s="59"/>
    </row>
    <row r="103" spans="1:11" x14ac:dyDescent="0.2">
      <c r="A103" s="19"/>
      <c r="B103" s="19"/>
      <c r="C103" s="12"/>
      <c r="D103" s="9"/>
      <c r="E103" s="59"/>
      <c r="F103" s="20"/>
      <c r="G103" s="164"/>
      <c r="H103" s="59"/>
      <c r="I103" s="59"/>
    </row>
    <row r="104" spans="1:11" x14ac:dyDescent="0.2">
      <c r="B104" s="19"/>
      <c r="C104" s="12"/>
      <c r="D104" s="9"/>
      <c r="E104" s="10"/>
      <c r="F104" s="11"/>
      <c r="G104" s="256"/>
      <c r="H104" s="10"/>
      <c r="I104" s="10"/>
    </row>
    <row r="105" spans="1:11" x14ac:dyDescent="0.2">
      <c r="A105" s="210" t="s">
        <v>101</v>
      </c>
      <c r="E105" s="248"/>
      <c r="G105" s="165"/>
      <c r="H105" s="248"/>
      <c r="I105" s="248"/>
    </row>
    <row r="106" spans="1:11" x14ac:dyDescent="0.2">
      <c r="E106" s="248"/>
      <c r="G106" s="165"/>
      <c r="H106" s="248"/>
      <c r="I106" s="248"/>
    </row>
    <row r="107" spans="1:11" x14ac:dyDescent="0.2">
      <c r="A107" s="203" t="s">
        <v>32</v>
      </c>
      <c r="B107" s="6" t="s">
        <v>256</v>
      </c>
      <c r="C107" s="6" t="s">
        <v>289</v>
      </c>
      <c r="D107" s="7">
        <v>41091</v>
      </c>
      <c r="E107" s="243">
        <v>-1893.39</v>
      </c>
      <c r="F107" s="17">
        <f t="shared" ref="F107:F118" si="24">IF((YEAR($F$1)-YEAR($D107))*12+MONTH($F$1)-MONTH($D107)&gt;12,12,(YEAR($F$1)-YEAR($D107))*12+MONTH($F$1)-MONTH($D107))</f>
        <v>12</v>
      </c>
      <c r="G107" s="257">
        <f t="shared" ref="G107:G118" si="25">0.05/12</f>
        <v>4.1666666666666666E-3</v>
      </c>
      <c r="H107" s="8">
        <f>ROUND(E107*F107*G107,2)</f>
        <v>-94.67</v>
      </c>
      <c r="I107" s="8">
        <f>ROUND(E107*G107*12,2)</f>
        <v>-94.67</v>
      </c>
    </row>
    <row r="108" spans="1:11" x14ac:dyDescent="0.2">
      <c r="A108" s="203" t="s">
        <v>32</v>
      </c>
      <c r="B108" s="6" t="s">
        <v>257</v>
      </c>
      <c r="C108" s="6" t="s">
        <v>291</v>
      </c>
      <c r="D108" s="7">
        <v>41091</v>
      </c>
      <c r="E108" s="243">
        <v>-6983.98</v>
      </c>
      <c r="F108" s="17">
        <f t="shared" si="24"/>
        <v>12</v>
      </c>
      <c r="G108" s="257">
        <f t="shared" si="25"/>
        <v>4.1666666666666666E-3</v>
      </c>
      <c r="H108" s="8">
        <f t="shared" ref="H108:H115" si="26">ROUND(E108*F108*G108,2)</f>
        <v>-349.2</v>
      </c>
      <c r="I108" s="8">
        <f t="shared" ref="I108:I115" si="27">ROUND(E108*G108*12,2)</f>
        <v>-349.2</v>
      </c>
    </row>
    <row r="109" spans="1:11" x14ac:dyDescent="0.2">
      <c r="A109" s="203" t="s">
        <v>32</v>
      </c>
      <c r="B109" s="6" t="s">
        <v>258</v>
      </c>
      <c r="C109" s="6" t="s">
        <v>293</v>
      </c>
      <c r="D109" s="7">
        <v>41061</v>
      </c>
      <c r="E109" s="243">
        <v>-28283.030000000002</v>
      </c>
      <c r="F109" s="17">
        <f t="shared" si="24"/>
        <v>12</v>
      </c>
      <c r="G109" s="257">
        <f t="shared" si="25"/>
        <v>4.1666666666666666E-3</v>
      </c>
      <c r="H109" s="8">
        <f t="shared" si="26"/>
        <v>-1414.15</v>
      </c>
      <c r="I109" s="8">
        <f t="shared" si="27"/>
        <v>-1414.15</v>
      </c>
    </row>
    <row r="110" spans="1:11" x14ac:dyDescent="0.2">
      <c r="A110" s="203" t="s">
        <v>32</v>
      </c>
      <c r="B110" s="6" t="s">
        <v>259</v>
      </c>
      <c r="C110" s="6" t="s">
        <v>294</v>
      </c>
      <c r="D110" s="7">
        <v>41061</v>
      </c>
      <c r="E110" s="243">
        <v>-33541.71</v>
      </c>
      <c r="F110" s="17">
        <f t="shared" si="24"/>
        <v>12</v>
      </c>
      <c r="G110" s="257">
        <f t="shared" si="25"/>
        <v>4.1666666666666666E-3</v>
      </c>
      <c r="H110" s="8">
        <f t="shared" si="26"/>
        <v>-1677.09</v>
      </c>
      <c r="I110" s="8">
        <f t="shared" si="27"/>
        <v>-1677.09</v>
      </c>
    </row>
    <row r="111" spans="1:11" x14ac:dyDescent="0.2">
      <c r="A111" s="203" t="s">
        <v>32</v>
      </c>
      <c r="B111" s="6" t="s">
        <v>259</v>
      </c>
      <c r="C111" s="6" t="s">
        <v>294</v>
      </c>
      <c r="D111" s="7">
        <v>41091</v>
      </c>
      <c r="E111" s="243">
        <v>-14078.740000000002</v>
      </c>
      <c r="F111" s="17">
        <f t="shared" si="24"/>
        <v>12</v>
      </c>
      <c r="G111" s="257">
        <f t="shared" si="25"/>
        <v>4.1666666666666666E-3</v>
      </c>
      <c r="H111" s="8">
        <f t="shared" si="26"/>
        <v>-703.94</v>
      </c>
      <c r="I111" s="8">
        <f t="shared" si="27"/>
        <v>-703.94</v>
      </c>
    </row>
    <row r="112" spans="1:11" x14ac:dyDescent="0.2">
      <c r="A112" s="203" t="s">
        <v>32</v>
      </c>
      <c r="B112" s="6" t="s">
        <v>257</v>
      </c>
      <c r="C112" s="6" t="s">
        <v>291</v>
      </c>
      <c r="D112" s="7">
        <v>41122</v>
      </c>
      <c r="E112" s="243">
        <v>-2468.64</v>
      </c>
      <c r="F112" s="17">
        <f t="shared" si="24"/>
        <v>12</v>
      </c>
      <c r="G112" s="257">
        <f t="shared" si="25"/>
        <v>4.1666666666666666E-3</v>
      </c>
      <c r="H112" s="8">
        <f t="shared" si="26"/>
        <v>-123.43</v>
      </c>
      <c r="I112" s="8">
        <f t="shared" si="27"/>
        <v>-123.43</v>
      </c>
    </row>
    <row r="113" spans="1:11" x14ac:dyDescent="0.2">
      <c r="A113" s="203" t="s">
        <v>32</v>
      </c>
      <c r="B113" s="6" t="s">
        <v>257</v>
      </c>
      <c r="C113" s="6" t="s">
        <v>291</v>
      </c>
      <c r="D113" s="7">
        <v>41183</v>
      </c>
      <c r="E113" s="243">
        <v>-2710.63</v>
      </c>
      <c r="F113" s="17">
        <f t="shared" si="24"/>
        <v>12</v>
      </c>
      <c r="G113" s="257">
        <f t="shared" si="25"/>
        <v>4.1666666666666666E-3</v>
      </c>
      <c r="H113" s="8">
        <f t="shared" si="26"/>
        <v>-135.53</v>
      </c>
      <c r="I113" s="8">
        <f t="shared" si="27"/>
        <v>-135.53</v>
      </c>
    </row>
    <row r="114" spans="1:11" x14ac:dyDescent="0.2">
      <c r="A114" s="203" t="s">
        <v>32</v>
      </c>
      <c r="B114" s="6" t="s">
        <v>258</v>
      </c>
      <c r="C114" s="6" t="s">
        <v>293</v>
      </c>
      <c r="D114" s="7">
        <v>41153</v>
      </c>
      <c r="E114" s="243">
        <v>-22552.87</v>
      </c>
      <c r="F114" s="17">
        <f t="shared" si="24"/>
        <v>12</v>
      </c>
      <c r="G114" s="257">
        <f t="shared" si="25"/>
        <v>4.1666666666666666E-3</v>
      </c>
      <c r="H114" s="8">
        <f t="shared" si="26"/>
        <v>-1127.6400000000001</v>
      </c>
      <c r="I114" s="8">
        <f t="shared" si="27"/>
        <v>-1127.6400000000001</v>
      </c>
    </row>
    <row r="115" spans="1:11" x14ac:dyDescent="0.2">
      <c r="A115" s="203" t="s">
        <v>32</v>
      </c>
      <c r="B115" s="6" t="s">
        <v>259</v>
      </c>
      <c r="C115" s="6" t="s">
        <v>294</v>
      </c>
      <c r="D115" s="7">
        <v>41153</v>
      </c>
      <c r="E115" s="243">
        <v>-5635.71</v>
      </c>
      <c r="F115" s="17">
        <f t="shared" si="24"/>
        <v>12</v>
      </c>
      <c r="G115" s="257">
        <f t="shared" si="25"/>
        <v>4.1666666666666666E-3</v>
      </c>
      <c r="H115" s="8">
        <f t="shared" si="26"/>
        <v>-281.79000000000002</v>
      </c>
      <c r="I115" s="8">
        <f t="shared" si="27"/>
        <v>-281.79000000000002</v>
      </c>
    </row>
    <row r="116" spans="1:11" x14ac:dyDescent="0.2">
      <c r="A116" s="207">
        <v>38000</v>
      </c>
      <c r="B116" s="238" t="s">
        <v>463</v>
      </c>
      <c r="C116" s="242" t="s">
        <v>582</v>
      </c>
      <c r="D116" s="241">
        <v>41243</v>
      </c>
      <c r="E116" s="249">
        <v>-3338.4288000000001</v>
      </c>
      <c r="F116" s="240">
        <f t="shared" si="24"/>
        <v>11</v>
      </c>
      <c r="G116" s="255">
        <f t="shared" si="25"/>
        <v>4.1666666666666666E-3</v>
      </c>
      <c r="H116" s="167">
        <f>ROUND(E116*F116*G116,2)</f>
        <v>-153.01</v>
      </c>
      <c r="I116" s="167">
        <f>ROUND(E116*G116*12,2)</f>
        <v>-166.92</v>
      </c>
      <c r="K116" s="57"/>
    </row>
    <row r="117" spans="1:11" x14ac:dyDescent="0.2">
      <c r="A117" s="207">
        <v>38000</v>
      </c>
      <c r="B117" s="238" t="s">
        <v>463</v>
      </c>
      <c r="C117" s="242" t="s">
        <v>582</v>
      </c>
      <c r="D117" s="241">
        <v>41229</v>
      </c>
      <c r="E117" s="249">
        <v>-22175.679705882354</v>
      </c>
      <c r="F117" s="240">
        <f t="shared" si="24"/>
        <v>11</v>
      </c>
      <c r="G117" s="255">
        <f t="shared" si="25"/>
        <v>4.1666666666666666E-3</v>
      </c>
      <c r="H117" s="167">
        <f>ROUND(E117*F117*G117,2)</f>
        <v>-1016.39</v>
      </c>
      <c r="I117" s="167">
        <f>ROUND(E117*G117*12,2)</f>
        <v>-1108.78</v>
      </c>
      <c r="K117" s="57"/>
    </row>
    <row r="118" spans="1:11" x14ac:dyDescent="0.2">
      <c r="A118" s="207">
        <v>38000</v>
      </c>
      <c r="B118" s="238" t="s">
        <v>463</v>
      </c>
      <c r="C118" s="242" t="s">
        <v>582</v>
      </c>
      <c r="D118" s="241">
        <v>41239</v>
      </c>
      <c r="E118" s="249">
        <v>-14271.756610169492</v>
      </c>
      <c r="F118" s="240">
        <f t="shared" si="24"/>
        <v>11</v>
      </c>
      <c r="G118" s="255">
        <f t="shared" si="25"/>
        <v>4.1666666666666666E-3</v>
      </c>
      <c r="H118" s="167">
        <f>ROUND(E118*F118*G118,2)</f>
        <v>-654.12</v>
      </c>
      <c r="I118" s="167">
        <f>ROUND(E118*G118*12,2)</f>
        <v>-713.59</v>
      </c>
      <c r="K118" s="57"/>
    </row>
    <row r="119" spans="1:11" s="3" customFormat="1" x14ac:dyDescent="0.2">
      <c r="A119" s="19"/>
      <c r="D119" s="9"/>
      <c r="E119" s="10"/>
      <c r="F119" s="18"/>
      <c r="G119" s="256"/>
      <c r="H119" s="10"/>
      <c r="I119" s="10"/>
    </row>
    <row r="120" spans="1:11" s="3" customFormat="1" ht="13.5" thickBot="1" x14ac:dyDescent="0.25">
      <c r="A120" s="19"/>
      <c r="C120" s="12" t="s">
        <v>100</v>
      </c>
      <c r="D120" s="9"/>
      <c r="E120" s="250">
        <f>SUM(E107:E118)</f>
        <v>-157934.56511605185</v>
      </c>
      <c r="F120" s="151"/>
      <c r="G120" s="256"/>
      <c r="H120" s="250">
        <f>SUM(H107:H118)</f>
        <v>-7730.96</v>
      </c>
      <c r="I120" s="250">
        <f>SUM(I107:I118)</f>
        <v>-7896.73</v>
      </c>
    </row>
    <row r="121" spans="1:11" s="3" customFormat="1" ht="13.5" thickTop="1" x14ac:dyDescent="0.2">
      <c r="A121" s="19"/>
      <c r="D121" s="9"/>
      <c r="E121" s="10"/>
      <c r="F121" s="18"/>
      <c r="G121" s="256"/>
      <c r="H121" s="10"/>
      <c r="I121" s="10"/>
    </row>
    <row r="122" spans="1:11" s="3" customFormat="1" x14ac:dyDescent="0.2">
      <c r="A122" s="19"/>
      <c r="D122" s="9"/>
      <c r="E122" s="10"/>
      <c r="F122" s="18"/>
      <c r="G122" s="256"/>
      <c r="H122" s="10"/>
      <c r="I122" s="10"/>
    </row>
    <row r="123" spans="1:11" x14ac:dyDescent="0.2">
      <c r="A123" s="210" t="s">
        <v>102</v>
      </c>
      <c r="E123" s="248"/>
      <c r="G123" s="165"/>
      <c r="H123" s="248"/>
      <c r="I123" s="248"/>
    </row>
    <row r="124" spans="1:11" x14ac:dyDescent="0.2">
      <c r="E124" s="248"/>
      <c r="G124" s="165"/>
      <c r="H124" s="248"/>
      <c r="I124" s="248"/>
    </row>
    <row r="125" spans="1:11" x14ac:dyDescent="0.2">
      <c r="A125" s="203" t="s">
        <v>32</v>
      </c>
      <c r="B125" s="6" t="s">
        <v>220</v>
      </c>
      <c r="C125" s="6" t="s">
        <v>288</v>
      </c>
      <c r="D125" s="56">
        <v>41091</v>
      </c>
      <c r="E125" s="243">
        <v>-77703.67</v>
      </c>
      <c r="F125" s="17">
        <f t="shared" ref="F125:F140" si="28">IF((YEAR($F$1)-YEAR($D125))*12+MONTH($F$1)-MONTH($D125)&gt;12,12,(YEAR($F$1)-YEAR($D125))*12+MONTH($F$1)-MONTH($D125))</f>
        <v>12</v>
      </c>
      <c r="G125" s="257">
        <f t="shared" ref="G125:G140" si="29">0.0513/12</f>
        <v>4.2750000000000002E-3</v>
      </c>
      <c r="H125" s="8">
        <f>ROUND(E125*F125*G125,2)</f>
        <v>-3986.2</v>
      </c>
      <c r="I125" s="8">
        <f>ROUND(E125*G125*12,2)</f>
        <v>-3986.2</v>
      </c>
    </row>
    <row r="126" spans="1:11" x14ac:dyDescent="0.2">
      <c r="A126" s="203" t="s">
        <v>32</v>
      </c>
      <c r="B126" s="6" t="s">
        <v>221</v>
      </c>
      <c r="C126" s="6" t="s">
        <v>290</v>
      </c>
      <c r="D126" s="56">
        <v>41061</v>
      </c>
      <c r="E126" s="243">
        <v>-7250.9600000000009</v>
      </c>
      <c r="F126" s="17">
        <f t="shared" si="28"/>
        <v>12</v>
      </c>
      <c r="G126" s="257">
        <f t="shared" si="29"/>
        <v>4.2750000000000002E-3</v>
      </c>
      <c r="H126" s="8">
        <f t="shared" ref="H126:H139" si="30">ROUND(E126*F126*G126,2)</f>
        <v>-371.97</v>
      </c>
      <c r="I126" s="8">
        <f t="shared" ref="I126:I139" si="31">ROUND(E126*G126*12,2)</f>
        <v>-371.97</v>
      </c>
    </row>
    <row r="127" spans="1:11" x14ac:dyDescent="0.2">
      <c r="A127" s="203" t="s">
        <v>32</v>
      </c>
      <c r="B127" s="6" t="s">
        <v>222</v>
      </c>
      <c r="C127" s="6" t="s">
        <v>292</v>
      </c>
      <c r="D127" s="56">
        <v>41061</v>
      </c>
      <c r="E127" s="243">
        <v>-4243.1100000000006</v>
      </c>
      <c r="F127" s="17">
        <f t="shared" si="28"/>
        <v>12</v>
      </c>
      <c r="G127" s="257">
        <f t="shared" si="29"/>
        <v>4.2750000000000002E-3</v>
      </c>
      <c r="H127" s="8">
        <f t="shared" si="30"/>
        <v>-217.67</v>
      </c>
      <c r="I127" s="8">
        <f t="shared" si="31"/>
        <v>-217.67</v>
      </c>
    </row>
    <row r="128" spans="1:11" x14ac:dyDescent="0.2">
      <c r="A128" s="203" t="s">
        <v>32</v>
      </c>
      <c r="B128" s="6" t="s">
        <v>222</v>
      </c>
      <c r="C128" s="6" t="s">
        <v>292</v>
      </c>
      <c r="D128" s="56">
        <v>41091</v>
      </c>
      <c r="E128" s="243">
        <v>-29957.800000000003</v>
      </c>
      <c r="F128" s="17">
        <f t="shared" si="28"/>
        <v>12</v>
      </c>
      <c r="G128" s="257">
        <f t="shared" si="29"/>
        <v>4.2750000000000002E-3</v>
      </c>
      <c r="H128" s="8">
        <f t="shared" si="30"/>
        <v>-1536.84</v>
      </c>
      <c r="I128" s="8">
        <f t="shared" si="31"/>
        <v>-1536.84</v>
      </c>
    </row>
    <row r="129" spans="1:9" x14ac:dyDescent="0.2">
      <c r="A129" s="203" t="s">
        <v>32</v>
      </c>
      <c r="B129" s="6" t="s">
        <v>223</v>
      </c>
      <c r="C129" s="6" t="s">
        <v>321</v>
      </c>
      <c r="D129" s="56">
        <v>41091</v>
      </c>
      <c r="E129" s="243">
        <v>-4621.01</v>
      </c>
      <c r="F129" s="17">
        <f t="shared" si="28"/>
        <v>12</v>
      </c>
      <c r="G129" s="257">
        <f t="shared" si="29"/>
        <v>4.2750000000000002E-3</v>
      </c>
      <c r="H129" s="8">
        <f t="shared" si="30"/>
        <v>-237.06</v>
      </c>
      <c r="I129" s="8">
        <f t="shared" si="31"/>
        <v>-237.06</v>
      </c>
    </row>
    <row r="130" spans="1:9" x14ac:dyDescent="0.2">
      <c r="A130" s="203" t="s">
        <v>32</v>
      </c>
      <c r="B130" s="6" t="s">
        <v>225</v>
      </c>
      <c r="C130" s="6" t="s">
        <v>325</v>
      </c>
      <c r="D130" s="56">
        <v>41061</v>
      </c>
      <c r="E130" s="243">
        <v>-5345.2</v>
      </c>
      <c r="F130" s="17">
        <f t="shared" si="28"/>
        <v>12</v>
      </c>
      <c r="G130" s="257">
        <f t="shared" si="29"/>
        <v>4.2750000000000002E-3</v>
      </c>
      <c r="H130" s="8">
        <f t="shared" si="30"/>
        <v>-274.20999999999998</v>
      </c>
      <c r="I130" s="8">
        <f t="shared" si="31"/>
        <v>-274.20999999999998</v>
      </c>
    </row>
    <row r="131" spans="1:9" x14ac:dyDescent="0.2">
      <c r="A131" s="203" t="s">
        <v>32</v>
      </c>
      <c r="B131" s="6" t="s">
        <v>225</v>
      </c>
      <c r="C131" s="6" t="s">
        <v>325</v>
      </c>
      <c r="D131" s="56">
        <v>41091</v>
      </c>
      <c r="E131" s="243">
        <v>-562.46</v>
      </c>
      <c r="F131" s="17">
        <f t="shared" si="28"/>
        <v>12</v>
      </c>
      <c r="G131" s="257">
        <f t="shared" si="29"/>
        <v>4.2750000000000002E-3</v>
      </c>
      <c r="H131" s="8">
        <f t="shared" si="30"/>
        <v>-28.85</v>
      </c>
      <c r="I131" s="8">
        <f t="shared" si="31"/>
        <v>-28.85</v>
      </c>
    </row>
    <row r="132" spans="1:9" x14ac:dyDescent="0.2">
      <c r="A132" s="203" t="s">
        <v>32</v>
      </c>
      <c r="B132" s="6" t="s">
        <v>221</v>
      </c>
      <c r="C132" s="6" t="s">
        <v>290</v>
      </c>
      <c r="D132" s="56">
        <v>41122</v>
      </c>
      <c r="E132" s="243">
        <v>-6558.7</v>
      </c>
      <c r="F132" s="17">
        <f t="shared" si="28"/>
        <v>12</v>
      </c>
      <c r="G132" s="257">
        <f t="shared" si="29"/>
        <v>4.2750000000000002E-3</v>
      </c>
      <c r="H132" s="8">
        <f t="shared" si="30"/>
        <v>-336.46</v>
      </c>
      <c r="I132" s="8">
        <f t="shared" si="31"/>
        <v>-336.46</v>
      </c>
    </row>
    <row r="133" spans="1:9" x14ac:dyDescent="0.2">
      <c r="A133" s="203" t="s">
        <v>32</v>
      </c>
      <c r="B133" s="6" t="s">
        <v>221</v>
      </c>
      <c r="C133" s="6" t="s">
        <v>290</v>
      </c>
      <c r="D133" s="56">
        <v>41153</v>
      </c>
      <c r="E133" s="243">
        <v>-100876.63</v>
      </c>
      <c r="F133" s="17">
        <f t="shared" si="28"/>
        <v>12</v>
      </c>
      <c r="G133" s="257">
        <f t="shared" si="29"/>
        <v>4.2750000000000002E-3</v>
      </c>
      <c r="H133" s="8">
        <f t="shared" si="30"/>
        <v>-5174.97</v>
      </c>
      <c r="I133" s="8">
        <f t="shared" si="31"/>
        <v>-5174.97</v>
      </c>
    </row>
    <row r="134" spans="1:9" x14ac:dyDescent="0.2">
      <c r="A134" s="203" t="s">
        <v>32</v>
      </c>
      <c r="B134" s="6" t="s">
        <v>221</v>
      </c>
      <c r="C134" s="6" t="s">
        <v>290</v>
      </c>
      <c r="D134" s="56">
        <v>41183</v>
      </c>
      <c r="E134" s="243">
        <v>-3707.05</v>
      </c>
      <c r="F134" s="17">
        <f t="shared" si="28"/>
        <v>12</v>
      </c>
      <c r="G134" s="257">
        <f t="shared" si="29"/>
        <v>4.2750000000000002E-3</v>
      </c>
      <c r="H134" s="8">
        <f t="shared" si="30"/>
        <v>-190.17</v>
      </c>
      <c r="I134" s="8">
        <f t="shared" si="31"/>
        <v>-190.17</v>
      </c>
    </row>
    <row r="135" spans="1:9" x14ac:dyDescent="0.2">
      <c r="A135" s="203" t="s">
        <v>32</v>
      </c>
      <c r="B135" s="6" t="s">
        <v>222</v>
      </c>
      <c r="C135" s="6" t="s">
        <v>292</v>
      </c>
      <c r="D135" s="56">
        <v>41122</v>
      </c>
      <c r="E135" s="8">
        <v>-6089.9400000000005</v>
      </c>
      <c r="F135" s="17">
        <f t="shared" si="28"/>
        <v>12</v>
      </c>
      <c r="G135" s="257">
        <f t="shared" si="29"/>
        <v>4.2750000000000002E-3</v>
      </c>
      <c r="H135" s="8">
        <f t="shared" si="30"/>
        <v>-312.41000000000003</v>
      </c>
      <c r="I135" s="8">
        <f t="shared" si="31"/>
        <v>-312.41000000000003</v>
      </c>
    </row>
    <row r="136" spans="1:9" x14ac:dyDescent="0.2">
      <c r="A136" s="203" t="s">
        <v>32</v>
      </c>
      <c r="B136" s="6" t="s">
        <v>222</v>
      </c>
      <c r="C136" s="6" t="s">
        <v>292</v>
      </c>
      <c r="D136" s="56">
        <v>41153</v>
      </c>
      <c r="E136" s="8">
        <v>-1662.91</v>
      </c>
      <c r="F136" s="17">
        <f t="shared" si="28"/>
        <v>12</v>
      </c>
      <c r="G136" s="257">
        <f t="shared" si="29"/>
        <v>4.2750000000000002E-3</v>
      </c>
      <c r="H136" s="8">
        <f t="shared" si="30"/>
        <v>-85.31</v>
      </c>
      <c r="I136" s="8">
        <f t="shared" si="31"/>
        <v>-85.31</v>
      </c>
    </row>
    <row r="137" spans="1:9" x14ac:dyDescent="0.2">
      <c r="A137" s="203" t="s">
        <v>32</v>
      </c>
      <c r="B137" s="6" t="s">
        <v>222</v>
      </c>
      <c r="C137" s="6" t="s">
        <v>292</v>
      </c>
      <c r="D137" s="56">
        <v>41183</v>
      </c>
      <c r="E137" s="8">
        <v>-1335.31</v>
      </c>
      <c r="F137" s="17">
        <f t="shared" si="28"/>
        <v>12</v>
      </c>
      <c r="G137" s="257">
        <f t="shared" si="29"/>
        <v>4.2750000000000002E-3</v>
      </c>
      <c r="H137" s="8">
        <f t="shared" si="30"/>
        <v>-68.5</v>
      </c>
      <c r="I137" s="8">
        <f t="shared" si="31"/>
        <v>-68.5</v>
      </c>
    </row>
    <row r="138" spans="1:9" x14ac:dyDescent="0.2">
      <c r="A138" s="203" t="s">
        <v>32</v>
      </c>
      <c r="B138" s="6" t="s">
        <v>224</v>
      </c>
      <c r="C138" s="6" t="s">
        <v>323</v>
      </c>
      <c r="D138" s="56">
        <v>41153</v>
      </c>
      <c r="E138" s="8">
        <v>-1138.94</v>
      </c>
      <c r="F138" s="17">
        <f t="shared" si="28"/>
        <v>12</v>
      </c>
      <c r="G138" s="257">
        <f t="shared" si="29"/>
        <v>4.2750000000000002E-3</v>
      </c>
      <c r="H138" s="8">
        <f t="shared" si="30"/>
        <v>-58.43</v>
      </c>
      <c r="I138" s="8">
        <f t="shared" si="31"/>
        <v>-58.43</v>
      </c>
    </row>
    <row r="139" spans="1:9" x14ac:dyDescent="0.2">
      <c r="A139" s="203" t="s">
        <v>32</v>
      </c>
      <c r="B139" s="6" t="s">
        <v>225</v>
      </c>
      <c r="C139" s="6" t="s">
        <v>325</v>
      </c>
      <c r="D139" s="56">
        <v>41122</v>
      </c>
      <c r="E139" s="8">
        <v>-8467.5400000000009</v>
      </c>
      <c r="F139" s="17">
        <f t="shared" si="28"/>
        <v>12</v>
      </c>
      <c r="G139" s="257">
        <f t="shared" si="29"/>
        <v>4.2750000000000002E-3</v>
      </c>
      <c r="H139" s="8">
        <f t="shared" si="30"/>
        <v>-434.38</v>
      </c>
      <c r="I139" s="8">
        <f t="shared" si="31"/>
        <v>-434.38</v>
      </c>
    </row>
    <row r="140" spans="1:9" x14ac:dyDescent="0.2">
      <c r="A140" s="207">
        <v>38000</v>
      </c>
      <c r="B140" s="238" t="s">
        <v>530</v>
      </c>
      <c r="C140" s="238" t="s">
        <v>584</v>
      </c>
      <c r="D140" s="241">
        <v>41289</v>
      </c>
      <c r="E140" s="249">
        <v>-4120.40333333333</v>
      </c>
      <c r="F140" s="240">
        <f t="shared" si="28"/>
        <v>9</v>
      </c>
      <c r="G140" s="255">
        <f t="shared" si="29"/>
        <v>4.2750000000000002E-3</v>
      </c>
      <c r="H140" s="167">
        <f>ROUND(E140*F140*G140,2)</f>
        <v>-158.53</v>
      </c>
      <c r="I140" s="167">
        <f>ROUND(E140*G140*12,2)</f>
        <v>-211.38</v>
      </c>
    </row>
    <row r="141" spans="1:9" s="3" customFormat="1" x14ac:dyDescent="0.2">
      <c r="A141" s="19"/>
      <c r="D141" s="9"/>
      <c r="E141" s="10"/>
      <c r="F141" s="18"/>
      <c r="G141" s="256"/>
      <c r="H141" s="10"/>
      <c r="I141" s="10"/>
    </row>
    <row r="142" spans="1:9" s="3" customFormat="1" ht="13.5" thickBot="1" x14ac:dyDescent="0.25">
      <c r="A142" s="19"/>
      <c r="C142" s="12" t="s">
        <v>103</v>
      </c>
      <c r="D142" s="9"/>
      <c r="E142" s="250">
        <f>SUM(E125:E140)</f>
        <v>-263641.63333333336</v>
      </c>
      <c r="F142" s="151"/>
      <c r="G142" s="256"/>
      <c r="H142" s="250">
        <f>SUM(H125:H140)</f>
        <v>-13471.960000000001</v>
      </c>
      <c r="I142" s="250">
        <f>SUM(I125:I140)</f>
        <v>-13524.81</v>
      </c>
    </row>
    <row r="143" spans="1:9" s="3" customFormat="1" ht="13.5" thickTop="1" x14ac:dyDescent="0.2">
      <c r="A143" s="19"/>
      <c r="D143" s="9"/>
      <c r="E143" s="10"/>
      <c r="F143" s="18"/>
      <c r="G143" s="256"/>
      <c r="H143" s="10"/>
      <c r="I143" s="10"/>
    </row>
    <row r="144" spans="1:9" s="3" customFormat="1" ht="13.5" thickBot="1" x14ac:dyDescent="0.25">
      <c r="A144" s="19"/>
      <c r="C144" s="12" t="s">
        <v>106</v>
      </c>
      <c r="D144" s="9"/>
      <c r="E144" s="252">
        <f>E142+E120</f>
        <v>-421576.19844938524</v>
      </c>
      <c r="F144" s="69"/>
      <c r="G144" s="164"/>
      <c r="H144" s="252">
        <f>H142+H120</f>
        <v>-21202.920000000002</v>
      </c>
      <c r="I144" s="252">
        <f>I142+I120</f>
        <v>-21421.54</v>
      </c>
    </row>
    <row r="145" spans="1:9" s="3" customFormat="1" ht="13.5" thickTop="1" x14ac:dyDescent="0.2">
      <c r="A145" s="19"/>
      <c r="D145" s="9"/>
      <c r="E145" s="10"/>
      <c r="F145" s="18"/>
      <c r="G145" s="256"/>
      <c r="H145" s="10"/>
      <c r="I145" s="10"/>
    </row>
    <row r="146" spans="1:9" s="3" customFormat="1" x14ac:dyDescent="0.2">
      <c r="A146" s="19"/>
      <c r="D146" s="9"/>
      <c r="E146" s="10"/>
      <c r="F146" s="18"/>
      <c r="G146" s="256"/>
      <c r="H146" s="10"/>
      <c r="I146" s="10"/>
    </row>
    <row r="147" spans="1:9" s="3" customFormat="1" x14ac:dyDescent="0.2">
      <c r="A147" s="210" t="s">
        <v>99</v>
      </c>
      <c r="D147" s="9"/>
      <c r="E147" s="10"/>
      <c r="F147" s="18"/>
      <c r="G147" s="256"/>
      <c r="H147" s="10"/>
      <c r="I147" s="10"/>
    </row>
    <row r="148" spans="1:9" s="3" customFormat="1" x14ac:dyDescent="0.2">
      <c r="A148" s="60"/>
      <c r="B148" s="39"/>
      <c r="C148" s="39"/>
      <c r="D148" s="61"/>
      <c r="E148" s="253"/>
      <c r="F148" s="63"/>
      <c r="G148" s="258"/>
      <c r="H148" s="10"/>
      <c r="I148" s="10"/>
    </row>
    <row r="149" spans="1:9" x14ac:dyDescent="0.2">
      <c r="A149" s="203" t="s">
        <v>602</v>
      </c>
      <c r="B149" s="6" t="s">
        <v>230</v>
      </c>
      <c r="C149" s="6" t="s">
        <v>296</v>
      </c>
      <c r="D149" s="56">
        <v>41091</v>
      </c>
      <c r="E149" s="243">
        <v>-187.95</v>
      </c>
      <c r="F149" s="17">
        <f t="shared" ref="F149:F153" si="32">IF((YEAR($F$1)-YEAR($D149))*12+MONTH($F$1)-MONTH($D149)&gt;12,12,(YEAR($F$1)-YEAR($D149))*12+MONTH($F$1)-MONTH($D149))</f>
        <v>12</v>
      </c>
      <c r="G149" s="257">
        <f t="shared" ref="G149:G153" si="33">0.0296/12</f>
        <v>2.4666666666666669E-3</v>
      </c>
      <c r="H149" s="8">
        <f>ROUND(E149*F149*G149,2)</f>
        <v>-5.56</v>
      </c>
      <c r="I149" s="8">
        <f>ROUND(E149*G149*12,2)</f>
        <v>-5.56</v>
      </c>
    </row>
    <row r="150" spans="1:9" x14ac:dyDescent="0.2">
      <c r="A150" s="203" t="s">
        <v>602</v>
      </c>
      <c r="B150" s="6" t="s">
        <v>231</v>
      </c>
      <c r="C150" s="6" t="s">
        <v>298</v>
      </c>
      <c r="D150" s="56">
        <v>41061</v>
      </c>
      <c r="E150" s="243">
        <v>-1771.85</v>
      </c>
      <c r="F150" s="17">
        <f t="shared" si="32"/>
        <v>12</v>
      </c>
      <c r="G150" s="257">
        <f t="shared" si="33"/>
        <v>2.4666666666666669E-3</v>
      </c>
      <c r="H150" s="8">
        <f t="shared" ref="H150:H153" si="34">ROUND(E150*F150*G150,2)</f>
        <v>-52.45</v>
      </c>
      <c r="I150" s="8">
        <f t="shared" ref="I150:I153" si="35">ROUND(E150*G150*12,2)</f>
        <v>-52.45</v>
      </c>
    </row>
    <row r="151" spans="1:9" x14ac:dyDescent="0.2">
      <c r="A151" s="203" t="s">
        <v>602</v>
      </c>
      <c r="B151" s="6" t="s">
        <v>231</v>
      </c>
      <c r="C151" s="6" t="s">
        <v>298</v>
      </c>
      <c r="D151" s="56">
        <v>41091</v>
      </c>
      <c r="E151" s="243">
        <v>-77.599999999999994</v>
      </c>
      <c r="F151" s="17">
        <f t="shared" si="32"/>
        <v>12</v>
      </c>
      <c r="G151" s="257">
        <f t="shared" si="33"/>
        <v>2.4666666666666669E-3</v>
      </c>
      <c r="H151" s="8">
        <f t="shared" si="34"/>
        <v>-2.2999999999999998</v>
      </c>
      <c r="I151" s="8">
        <f t="shared" si="35"/>
        <v>-2.2999999999999998</v>
      </c>
    </row>
    <row r="152" spans="1:9" x14ac:dyDescent="0.2">
      <c r="A152" s="203" t="s">
        <v>602</v>
      </c>
      <c r="B152" s="6" t="s">
        <v>237</v>
      </c>
      <c r="C152" s="6" t="s">
        <v>301</v>
      </c>
      <c r="D152" s="56">
        <v>41061</v>
      </c>
      <c r="E152" s="8">
        <v>-155.76999999999998</v>
      </c>
      <c r="F152" s="17">
        <f t="shared" si="32"/>
        <v>12</v>
      </c>
      <c r="G152" s="257">
        <f t="shared" si="33"/>
        <v>2.4666666666666669E-3</v>
      </c>
      <c r="H152" s="8">
        <f t="shared" si="34"/>
        <v>-4.6100000000000003</v>
      </c>
      <c r="I152" s="8">
        <f t="shared" si="35"/>
        <v>-4.6100000000000003</v>
      </c>
    </row>
    <row r="153" spans="1:9" x14ac:dyDescent="0.2">
      <c r="A153" s="203" t="s">
        <v>602</v>
      </c>
      <c r="B153" s="6" t="s">
        <v>237</v>
      </c>
      <c r="C153" s="6" t="s">
        <v>301</v>
      </c>
      <c r="D153" s="56">
        <v>41091</v>
      </c>
      <c r="E153" s="8">
        <v>-7532.7599999999993</v>
      </c>
      <c r="F153" s="17">
        <f t="shared" si="32"/>
        <v>12</v>
      </c>
      <c r="G153" s="257">
        <f t="shared" si="33"/>
        <v>2.4666666666666669E-3</v>
      </c>
      <c r="H153" s="8">
        <f t="shared" si="34"/>
        <v>-222.97</v>
      </c>
      <c r="I153" s="8">
        <f t="shared" si="35"/>
        <v>-222.97</v>
      </c>
    </row>
    <row r="154" spans="1:9" x14ac:dyDescent="0.2">
      <c r="A154" s="19"/>
      <c r="B154" s="19"/>
      <c r="C154" s="3"/>
      <c r="D154" s="9"/>
      <c r="E154" s="10"/>
      <c r="F154" s="11"/>
      <c r="G154" s="256"/>
      <c r="H154" s="10"/>
      <c r="I154" s="10"/>
    </row>
    <row r="155" spans="1:9" ht="13.5" thickBot="1" x14ac:dyDescent="0.25">
      <c r="A155" s="19"/>
      <c r="B155" s="3"/>
      <c r="C155" s="12" t="s">
        <v>100</v>
      </c>
      <c r="D155" s="9"/>
      <c r="E155" s="250">
        <f>SUM(E149:E153)</f>
        <v>-9725.93</v>
      </c>
      <c r="F155" s="151"/>
      <c r="G155" s="256"/>
      <c r="H155" s="250">
        <f>SUM(H149:H153)</f>
        <v>-287.89</v>
      </c>
      <c r="I155" s="250">
        <f>SUM(I149:I153)</f>
        <v>-287.89</v>
      </c>
    </row>
    <row r="156" spans="1:9" ht="13.5" thickTop="1" x14ac:dyDescent="0.2">
      <c r="A156" s="19"/>
      <c r="B156" s="3"/>
      <c r="C156" s="3"/>
      <c r="D156" s="9"/>
      <c r="E156" s="10"/>
      <c r="F156" s="11"/>
      <c r="G156" s="256"/>
      <c r="H156" s="10"/>
      <c r="I156" s="10"/>
    </row>
    <row r="157" spans="1:9" x14ac:dyDescent="0.2">
      <c r="A157" s="19"/>
      <c r="B157" s="19"/>
      <c r="C157" s="3"/>
      <c r="D157" s="9"/>
      <c r="E157" s="10"/>
      <c r="F157" s="11"/>
      <c r="G157" s="256"/>
      <c r="H157" s="10"/>
      <c r="I157" s="10"/>
    </row>
    <row r="158" spans="1:9" x14ac:dyDescent="0.2">
      <c r="A158" s="210" t="s">
        <v>104</v>
      </c>
      <c r="B158" s="19"/>
      <c r="C158" s="3"/>
      <c r="D158" s="9"/>
      <c r="E158" s="10"/>
      <c r="F158" s="11"/>
      <c r="G158" s="256"/>
      <c r="H158" s="10"/>
      <c r="I158" s="10"/>
    </row>
    <row r="159" spans="1:9" x14ac:dyDescent="0.2">
      <c r="A159" s="19"/>
      <c r="B159" s="19"/>
      <c r="C159" s="3"/>
      <c r="D159" s="9"/>
      <c r="E159" s="10"/>
      <c r="F159" s="11"/>
      <c r="G159" s="256"/>
      <c r="H159" s="10"/>
      <c r="I159" s="10"/>
    </row>
    <row r="160" spans="1:9" x14ac:dyDescent="0.2">
      <c r="A160" s="209" t="s">
        <v>602</v>
      </c>
      <c r="B160" s="6" t="s">
        <v>245</v>
      </c>
      <c r="C160" s="6" t="s">
        <v>295</v>
      </c>
      <c r="D160" s="7">
        <v>41061</v>
      </c>
      <c r="E160" s="243">
        <v>-698.5</v>
      </c>
      <c r="F160" s="17">
        <f t="shared" ref="F160:F162" si="36">IF((YEAR($F$1)-YEAR($D160))*12+MONTH($F$1)-MONTH($D160)&gt;12,12,(YEAR($F$1)-YEAR($D160))*12+MONTH($F$1)-MONTH($D160))</f>
        <v>12</v>
      </c>
      <c r="G160" s="257">
        <f t="shared" ref="G160:G162" si="37">0.0391/12</f>
        <v>3.2583333333333336E-3</v>
      </c>
      <c r="H160" s="8">
        <f>ROUND(E160*F160*G160,2)</f>
        <v>-27.31</v>
      </c>
      <c r="I160" s="8">
        <f>ROUND(E160*G160*12,2)</f>
        <v>-27.31</v>
      </c>
    </row>
    <row r="161" spans="1:9" x14ac:dyDescent="0.2">
      <c r="A161" s="209" t="s">
        <v>602</v>
      </c>
      <c r="B161" s="6" t="s">
        <v>246</v>
      </c>
      <c r="C161" s="6" t="s">
        <v>299</v>
      </c>
      <c r="D161" s="7">
        <v>41061</v>
      </c>
      <c r="E161" s="243">
        <v>-51962.159999999996</v>
      </c>
      <c r="F161" s="17">
        <f t="shared" si="36"/>
        <v>12</v>
      </c>
      <c r="G161" s="257">
        <f t="shared" si="37"/>
        <v>3.2583333333333336E-3</v>
      </c>
      <c r="H161" s="8">
        <f t="shared" ref="H161:H162" si="38">ROUND(E161*F161*G161,2)</f>
        <v>-2031.72</v>
      </c>
      <c r="I161" s="8">
        <f t="shared" ref="I161:I162" si="39">ROUND(E161*G161*12,2)</f>
        <v>-2031.72</v>
      </c>
    </row>
    <row r="162" spans="1:9" x14ac:dyDescent="0.2">
      <c r="A162" s="209" t="s">
        <v>602</v>
      </c>
      <c r="B162" s="6" t="s">
        <v>246</v>
      </c>
      <c r="C162" s="6" t="s">
        <v>299</v>
      </c>
      <c r="D162" s="7">
        <v>41091</v>
      </c>
      <c r="E162" s="243">
        <v>-836.97</v>
      </c>
      <c r="F162" s="17">
        <f t="shared" si="36"/>
        <v>12</v>
      </c>
      <c r="G162" s="257">
        <f t="shared" si="37"/>
        <v>3.2583333333333336E-3</v>
      </c>
      <c r="H162" s="8">
        <f t="shared" si="38"/>
        <v>-32.729999999999997</v>
      </c>
      <c r="I162" s="8">
        <f t="shared" si="39"/>
        <v>-32.729999999999997</v>
      </c>
    </row>
    <row r="163" spans="1:9" x14ac:dyDescent="0.2">
      <c r="E163" s="248"/>
      <c r="G163" s="165"/>
      <c r="H163" s="248"/>
      <c r="I163" s="248"/>
    </row>
    <row r="164" spans="1:9" ht="13.5" thickBot="1" x14ac:dyDescent="0.25">
      <c r="C164" s="12" t="s">
        <v>29</v>
      </c>
      <c r="D164" s="9"/>
      <c r="E164" s="250">
        <f>SUM(E160:E162)</f>
        <v>-53497.63</v>
      </c>
      <c r="F164" s="151"/>
      <c r="G164" s="256"/>
      <c r="H164" s="250">
        <f>SUM(H160:H162)</f>
        <v>-2091.7600000000002</v>
      </c>
      <c r="I164" s="250">
        <f>SUM(I160:I162)</f>
        <v>-2091.7600000000002</v>
      </c>
    </row>
    <row r="165" spans="1:9" ht="13.5" thickTop="1" x14ac:dyDescent="0.2">
      <c r="E165" s="248"/>
      <c r="G165" s="165"/>
      <c r="H165" s="248"/>
      <c r="I165" s="248"/>
    </row>
    <row r="166" spans="1:9" ht="13.5" thickBot="1" x14ac:dyDescent="0.25">
      <c r="C166" s="12" t="s">
        <v>44</v>
      </c>
      <c r="D166" s="9"/>
      <c r="E166" s="252">
        <f>E164+E155</f>
        <v>-63223.56</v>
      </c>
      <c r="F166" s="20"/>
      <c r="G166" s="164"/>
      <c r="H166" s="252">
        <f>H164+H155</f>
        <v>-2379.65</v>
      </c>
      <c r="I166" s="252">
        <f>I164+I155</f>
        <v>-2379.65</v>
      </c>
    </row>
    <row r="167" spans="1:9" ht="13.5" thickTop="1" x14ac:dyDescent="0.2">
      <c r="E167" s="248"/>
      <c r="G167" s="165"/>
      <c r="H167" s="248"/>
      <c r="I167" s="248"/>
    </row>
    <row r="168" spans="1:9" x14ac:dyDescent="0.2">
      <c r="E168" s="248"/>
      <c r="G168" s="165"/>
      <c r="H168" s="248"/>
      <c r="I168" s="248"/>
    </row>
    <row r="169" spans="1:9" ht="13.5" thickBot="1" x14ac:dyDescent="0.25">
      <c r="C169" s="12" t="s">
        <v>45</v>
      </c>
      <c r="E169" s="252">
        <f>E166+E144+E101</f>
        <v>-604451.85862610268</v>
      </c>
      <c r="F169" s="152"/>
      <c r="G169" s="165"/>
      <c r="H169" s="252">
        <f>H166+H144+H101</f>
        <v>-26817.240000000005</v>
      </c>
      <c r="I169" s="252">
        <f>I166+I144+I101</f>
        <v>-27605.170000000002</v>
      </c>
    </row>
    <row r="170" spans="1:9" ht="13.5" thickTop="1" x14ac:dyDescent="0.2">
      <c r="E170" s="248"/>
      <c r="G170" s="165"/>
      <c r="H170" s="248"/>
      <c r="I170" s="248"/>
    </row>
    <row r="171" spans="1:9" x14ac:dyDescent="0.2">
      <c r="E171" s="248"/>
      <c r="G171" s="165"/>
      <c r="H171" s="248"/>
      <c r="I171" s="248"/>
    </row>
    <row r="172" spans="1:9" x14ac:dyDescent="0.2">
      <c r="E172" s="248"/>
      <c r="G172" s="165"/>
      <c r="H172" s="248"/>
      <c r="I172" s="248"/>
    </row>
    <row r="173" spans="1:9" x14ac:dyDescent="0.2">
      <c r="E173" s="248"/>
      <c r="G173" s="165"/>
      <c r="H173" s="248"/>
      <c r="I173" s="248"/>
    </row>
    <row r="174" spans="1:9" x14ac:dyDescent="0.2">
      <c r="E174" s="248"/>
      <c r="G174" s="165"/>
      <c r="H174" s="248"/>
      <c r="I174" s="248"/>
    </row>
    <row r="175" spans="1:9" x14ac:dyDescent="0.2">
      <c r="E175" s="248"/>
      <c r="G175" s="165"/>
      <c r="H175" s="248"/>
      <c r="I175" s="248"/>
    </row>
    <row r="176" spans="1:9" x14ac:dyDescent="0.2">
      <c r="E176" s="248"/>
      <c r="G176" s="165"/>
      <c r="H176" s="248"/>
      <c r="I176" s="248"/>
    </row>
    <row r="177" spans="5:9" x14ac:dyDescent="0.2">
      <c r="E177" s="248"/>
      <c r="G177" s="165"/>
      <c r="H177" s="248"/>
      <c r="I177" s="248"/>
    </row>
    <row r="178" spans="5:9" x14ac:dyDescent="0.2">
      <c r="E178" s="248"/>
      <c r="G178" s="165"/>
      <c r="H178" s="248"/>
      <c r="I178" s="248"/>
    </row>
    <row r="179" spans="5:9" x14ac:dyDescent="0.2">
      <c r="E179" s="248"/>
      <c r="G179" s="165"/>
      <c r="H179" s="248"/>
      <c r="I179" s="248"/>
    </row>
    <row r="180" spans="5:9" x14ac:dyDescent="0.2">
      <c r="E180" s="248"/>
      <c r="G180" s="165"/>
      <c r="H180" s="248"/>
      <c r="I180" s="248"/>
    </row>
    <row r="181" spans="5:9" x14ac:dyDescent="0.2">
      <c r="E181" s="248"/>
      <c r="G181" s="165"/>
      <c r="H181" s="248"/>
      <c r="I181" s="248"/>
    </row>
    <row r="182" spans="5:9" x14ac:dyDescent="0.2">
      <c r="E182" s="248"/>
      <c r="G182" s="165"/>
      <c r="H182" s="248"/>
      <c r="I182" s="248"/>
    </row>
    <row r="183" spans="5:9" x14ac:dyDescent="0.2">
      <c r="E183" s="248"/>
      <c r="G183" s="165"/>
      <c r="H183" s="248"/>
      <c r="I183" s="248"/>
    </row>
    <row r="184" spans="5:9" x14ac:dyDescent="0.2">
      <c r="E184" s="248"/>
      <c r="G184" s="165"/>
      <c r="H184" s="248"/>
      <c r="I184" s="248"/>
    </row>
    <row r="185" spans="5:9" x14ac:dyDescent="0.2">
      <c r="E185" s="248"/>
      <c r="G185" s="165"/>
      <c r="H185" s="248"/>
      <c r="I185" s="248"/>
    </row>
    <row r="186" spans="5:9" x14ac:dyDescent="0.2">
      <c r="E186" s="248"/>
      <c r="G186" s="165"/>
      <c r="H186" s="248"/>
      <c r="I186" s="248"/>
    </row>
    <row r="187" spans="5:9" x14ac:dyDescent="0.2">
      <c r="E187" s="248"/>
      <c r="G187" s="165"/>
      <c r="H187" s="248"/>
      <c r="I187" s="248"/>
    </row>
    <row r="188" spans="5:9" x14ac:dyDescent="0.2">
      <c r="E188" s="248"/>
      <c r="G188" s="165"/>
      <c r="H188" s="248"/>
      <c r="I188" s="248"/>
    </row>
    <row r="189" spans="5:9" x14ac:dyDescent="0.2">
      <c r="E189" s="248"/>
      <c r="G189" s="165"/>
      <c r="H189" s="248"/>
      <c r="I189" s="248"/>
    </row>
    <row r="190" spans="5:9" x14ac:dyDescent="0.2">
      <c r="E190" s="248"/>
      <c r="G190" s="165"/>
      <c r="H190" s="248"/>
      <c r="I190" s="248"/>
    </row>
    <row r="191" spans="5:9" x14ac:dyDescent="0.2">
      <c r="E191" s="248"/>
      <c r="G191" s="165"/>
      <c r="H191" s="248"/>
      <c r="I191" s="248"/>
    </row>
    <row r="192" spans="5:9" x14ac:dyDescent="0.2">
      <c r="E192" s="248"/>
      <c r="G192" s="165"/>
      <c r="H192" s="248"/>
      <c r="I192" s="248"/>
    </row>
    <row r="193" spans="5:9" x14ac:dyDescent="0.2">
      <c r="E193" s="248"/>
      <c r="G193" s="162"/>
      <c r="H193" s="248"/>
      <c r="I193" s="248"/>
    </row>
    <row r="194" spans="5:9" x14ac:dyDescent="0.2">
      <c r="E194" s="248"/>
      <c r="G194" s="162"/>
      <c r="H194" s="248"/>
      <c r="I194" s="248"/>
    </row>
    <row r="195" spans="5:9" x14ac:dyDescent="0.2">
      <c r="E195" s="248"/>
      <c r="G195" s="162"/>
      <c r="H195" s="248"/>
      <c r="I195" s="248"/>
    </row>
    <row r="196" spans="5:9" x14ac:dyDescent="0.2">
      <c r="E196" s="248"/>
      <c r="G196" s="162"/>
      <c r="H196" s="248"/>
      <c r="I196" s="248"/>
    </row>
    <row r="197" spans="5:9" x14ac:dyDescent="0.2">
      <c r="E197" s="248"/>
      <c r="G197" s="162"/>
      <c r="H197" s="248"/>
      <c r="I197" s="248"/>
    </row>
    <row r="198" spans="5:9" x14ac:dyDescent="0.2">
      <c r="E198" s="248"/>
      <c r="G198" s="162"/>
      <c r="H198" s="248"/>
      <c r="I198" s="248"/>
    </row>
    <row r="199" spans="5:9" x14ac:dyDescent="0.2">
      <c r="E199" s="248"/>
      <c r="G199" s="162"/>
      <c r="H199" s="248"/>
      <c r="I199" s="248"/>
    </row>
    <row r="200" spans="5:9" x14ac:dyDescent="0.2">
      <c r="E200" s="248"/>
      <c r="G200" s="162"/>
      <c r="H200" s="248"/>
      <c r="I200" s="248"/>
    </row>
    <row r="201" spans="5:9" x14ac:dyDescent="0.2">
      <c r="E201" s="248"/>
      <c r="G201" s="162"/>
      <c r="H201" s="248"/>
      <c r="I201" s="248"/>
    </row>
    <row r="202" spans="5:9" x14ac:dyDescent="0.2">
      <c r="E202" s="248"/>
      <c r="G202" s="162"/>
      <c r="H202" s="248"/>
      <c r="I202" s="248"/>
    </row>
    <row r="203" spans="5:9" x14ac:dyDescent="0.2">
      <c r="E203" s="248"/>
      <c r="G203" s="162"/>
      <c r="H203" s="248"/>
      <c r="I203" s="248"/>
    </row>
    <row r="204" spans="5:9" x14ac:dyDescent="0.2">
      <c r="E204" s="248"/>
      <c r="G204" s="162"/>
      <c r="H204" s="248"/>
      <c r="I204" s="248"/>
    </row>
    <row r="205" spans="5:9" x14ac:dyDescent="0.2">
      <c r="E205" s="248"/>
      <c r="G205" s="162"/>
      <c r="H205" s="248"/>
      <c r="I205" s="248"/>
    </row>
    <row r="206" spans="5:9" x14ac:dyDescent="0.2">
      <c r="E206" s="248"/>
      <c r="G206" s="162"/>
      <c r="H206" s="248"/>
      <c r="I206" s="248"/>
    </row>
    <row r="207" spans="5:9" x14ac:dyDescent="0.2">
      <c r="E207" s="248"/>
      <c r="G207" s="162"/>
      <c r="H207" s="248"/>
      <c r="I207" s="248"/>
    </row>
    <row r="208" spans="5:9" x14ac:dyDescent="0.2">
      <c r="E208" s="248"/>
      <c r="G208" s="162"/>
      <c r="H208" s="248"/>
      <c r="I208" s="248"/>
    </row>
    <row r="209" spans="5:9" x14ac:dyDescent="0.2">
      <c r="E209" s="248"/>
      <c r="G209" s="162"/>
      <c r="H209" s="248"/>
      <c r="I209" s="248"/>
    </row>
    <row r="210" spans="5:9" x14ac:dyDescent="0.2">
      <c r="E210" s="248"/>
      <c r="G210" s="162"/>
      <c r="H210" s="248"/>
      <c r="I210" s="248"/>
    </row>
    <row r="211" spans="5:9" x14ac:dyDescent="0.2">
      <c r="E211" s="248"/>
      <c r="G211" s="162"/>
      <c r="H211" s="248"/>
      <c r="I211" s="248"/>
    </row>
    <row r="212" spans="5:9" x14ac:dyDescent="0.2">
      <c r="E212" s="248"/>
      <c r="G212" s="162"/>
      <c r="H212" s="248"/>
      <c r="I212" s="248"/>
    </row>
    <row r="213" spans="5:9" x14ac:dyDescent="0.2">
      <c r="E213" s="248"/>
      <c r="G213" s="162"/>
      <c r="H213" s="248"/>
      <c r="I213" s="248"/>
    </row>
    <row r="214" spans="5:9" x14ac:dyDescent="0.2">
      <c r="E214" s="248"/>
      <c r="G214" s="162"/>
      <c r="H214" s="248"/>
      <c r="I214" s="248"/>
    </row>
    <row r="215" spans="5:9" x14ac:dyDescent="0.2">
      <c r="E215" s="248"/>
      <c r="G215" s="162"/>
      <c r="H215" s="248"/>
      <c r="I215" s="248"/>
    </row>
    <row r="216" spans="5:9" x14ac:dyDescent="0.2">
      <c r="E216" s="248"/>
      <c r="G216" s="162"/>
      <c r="H216" s="248"/>
      <c r="I216" s="248"/>
    </row>
    <row r="217" spans="5:9" x14ac:dyDescent="0.2">
      <c r="E217" s="248"/>
      <c r="G217" s="162"/>
      <c r="H217" s="248"/>
      <c r="I217" s="248"/>
    </row>
    <row r="218" spans="5:9" x14ac:dyDescent="0.2">
      <c r="E218" s="248"/>
      <c r="G218" s="162"/>
      <c r="H218" s="248"/>
      <c r="I218" s="248"/>
    </row>
    <row r="219" spans="5:9" x14ac:dyDescent="0.2">
      <c r="E219" s="248"/>
      <c r="G219" s="162"/>
      <c r="H219" s="248"/>
      <c r="I219" s="248"/>
    </row>
    <row r="220" spans="5:9" x14ac:dyDescent="0.2">
      <c r="E220" s="248"/>
      <c r="G220" s="162"/>
      <c r="H220" s="248"/>
      <c r="I220" s="248"/>
    </row>
    <row r="221" spans="5:9" x14ac:dyDescent="0.2">
      <c r="E221" s="248"/>
      <c r="G221" s="162"/>
      <c r="H221" s="248"/>
      <c r="I221" s="248"/>
    </row>
    <row r="222" spans="5:9" x14ac:dyDescent="0.2">
      <c r="E222" s="248"/>
      <c r="G222" s="162"/>
      <c r="H222" s="248"/>
      <c r="I222" s="248"/>
    </row>
    <row r="223" spans="5:9" x14ac:dyDescent="0.2">
      <c r="E223" s="248"/>
      <c r="G223" s="162"/>
      <c r="H223" s="248"/>
      <c r="I223" s="248"/>
    </row>
    <row r="224" spans="5:9" x14ac:dyDescent="0.2">
      <c r="E224" s="248"/>
      <c r="G224" s="162"/>
      <c r="H224" s="248"/>
      <c r="I224" s="248"/>
    </row>
    <row r="225" spans="5:9" x14ac:dyDescent="0.2">
      <c r="E225" s="248"/>
      <c r="G225" s="162"/>
      <c r="H225" s="248"/>
      <c r="I225" s="248"/>
    </row>
    <row r="226" spans="5:9" x14ac:dyDescent="0.2">
      <c r="E226" s="248"/>
      <c r="G226" s="162"/>
      <c r="H226" s="248"/>
      <c r="I226" s="248"/>
    </row>
    <row r="227" spans="5:9" x14ac:dyDescent="0.2">
      <c r="E227" s="248"/>
      <c r="G227" s="162"/>
      <c r="H227" s="248"/>
      <c r="I227" s="248"/>
    </row>
    <row r="228" spans="5:9" x14ac:dyDescent="0.2">
      <c r="E228" s="248"/>
      <c r="G228" s="162"/>
      <c r="H228" s="248"/>
      <c r="I228" s="248"/>
    </row>
    <row r="229" spans="5:9" x14ac:dyDescent="0.2">
      <c r="E229" s="248"/>
      <c r="G229" s="162"/>
      <c r="H229" s="248"/>
      <c r="I229" s="248"/>
    </row>
    <row r="230" spans="5:9" x14ac:dyDescent="0.2">
      <c r="E230" s="248"/>
      <c r="G230" s="162"/>
      <c r="H230" s="248"/>
      <c r="I230" s="248"/>
    </row>
    <row r="231" spans="5:9" x14ac:dyDescent="0.2">
      <c r="E231" s="248"/>
      <c r="G231" s="162"/>
      <c r="H231" s="248"/>
      <c r="I231" s="248"/>
    </row>
    <row r="232" spans="5:9" x14ac:dyDescent="0.2">
      <c r="E232" s="248"/>
      <c r="G232" s="162"/>
      <c r="H232" s="248"/>
      <c r="I232" s="248"/>
    </row>
    <row r="233" spans="5:9" x14ac:dyDescent="0.2">
      <c r="E233" s="248"/>
      <c r="G233" s="162"/>
      <c r="H233" s="248"/>
      <c r="I233" s="248"/>
    </row>
    <row r="234" spans="5:9" x14ac:dyDescent="0.2">
      <c r="E234" s="248"/>
      <c r="G234" s="162"/>
      <c r="H234" s="248"/>
      <c r="I234" s="248"/>
    </row>
    <row r="235" spans="5:9" x14ac:dyDescent="0.2">
      <c r="E235" s="248"/>
      <c r="G235" s="162"/>
      <c r="H235" s="248"/>
      <c r="I235" s="248"/>
    </row>
    <row r="236" spans="5:9" x14ac:dyDescent="0.2">
      <c r="E236" s="248"/>
      <c r="G236" s="162"/>
      <c r="H236" s="248"/>
      <c r="I236" s="248"/>
    </row>
    <row r="237" spans="5:9" x14ac:dyDescent="0.2">
      <c r="E237" s="248"/>
      <c r="G237" s="162"/>
      <c r="H237" s="248"/>
      <c r="I237" s="248"/>
    </row>
    <row r="238" spans="5:9" x14ac:dyDescent="0.2">
      <c r="E238" s="248"/>
      <c r="G238" s="162"/>
      <c r="H238" s="248"/>
      <c r="I238" s="248"/>
    </row>
    <row r="239" spans="5:9" x14ac:dyDescent="0.2">
      <c r="E239" s="248"/>
      <c r="G239" s="162"/>
      <c r="H239" s="248"/>
      <c r="I239" s="248"/>
    </row>
    <row r="240" spans="5:9" x14ac:dyDescent="0.2">
      <c r="E240" s="248"/>
      <c r="G240" s="162"/>
      <c r="H240" s="248"/>
      <c r="I240" s="248"/>
    </row>
    <row r="241" spans="5:7" x14ac:dyDescent="0.2">
      <c r="E241" s="248"/>
      <c r="G241" s="162"/>
    </row>
    <row r="242" spans="5:7" x14ac:dyDescent="0.2">
      <c r="E242" s="248"/>
      <c r="G242" s="162"/>
    </row>
    <row r="243" spans="5:7" x14ac:dyDescent="0.2">
      <c r="E243" s="248"/>
      <c r="G243" s="162"/>
    </row>
    <row r="244" spans="5:7" x14ac:dyDescent="0.2">
      <c r="E244" s="248"/>
      <c r="G244" s="162"/>
    </row>
    <row r="245" spans="5:7" x14ac:dyDescent="0.2">
      <c r="E245" s="248"/>
      <c r="G245" s="162"/>
    </row>
    <row r="246" spans="5:7" x14ac:dyDescent="0.2">
      <c r="E246" s="248"/>
      <c r="G246" s="162"/>
    </row>
    <row r="247" spans="5:7" x14ac:dyDescent="0.2">
      <c r="E247" s="248"/>
      <c r="G247" s="162"/>
    </row>
    <row r="248" spans="5:7" x14ac:dyDescent="0.2">
      <c r="E248" s="248"/>
      <c r="G248" s="162"/>
    </row>
    <row r="249" spans="5:7" x14ac:dyDescent="0.2">
      <c r="E249" s="248"/>
      <c r="G249" s="162"/>
    </row>
    <row r="250" spans="5:7" x14ac:dyDescent="0.2">
      <c r="E250" s="248"/>
      <c r="G250" s="162"/>
    </row>
    <row r="251" spans="5:7" x14ac:dyDescent="0.2">
      <c r="E251" s="248"/>
      <c r="G251" s="162"/>
    </row>
    <row r="252" spans="5:7" x14ac:dyDescent="0.2">
      <c r="E252" s="248"/>
      <c r="G252" s="162"/>
    </row>
    <row r="253" spans="5:7" x14ac:dyDescent="0.2">
      <c r="E253" s="248"/>
      <c r="G253" s="162"/>
    </row>
    <row r="254" spans="5:7" x14ac:dyDescent="0.2">
      <c r="E254" s="248"/>
      <c r="G254" s="162"/>
    </row>
    <row r="255" spans="5:7" x14ac:dyDescent="0.2">
      <c r="E255" s="248"/>
      <c r="G255" s="162"/>
    </row>
    <row r="256" spans="5:7" x14ac:dyDescent="0.2">
      <c r="E256" s="248"/>
      <c r="G256" s="162"/>
    </row>
    <row r="257" spans="5:7" x14ac:dyDescent="0.2">
      <c r="E257" s="248"/>
      <c r="G257" s="162"/>
    </row>
    <row r="258" spans="5:7" x14ac:dyDescent="0.2">
      <c r="E258" s="248"/>
      <c r="G258" s="162"/>
    </row>
    <row r="259" spans="5:7" x14ac:dyDescent="0.2">
      <c r="E259" s="248"/>
      <c r="G259" s="162"/>
    </row>
    <row r="260" spans="5:7" x14ac:dyDescent="0.2">
      <c r="E260" s="248"/>
      <c r="G260" s="162"/>
    </row>
    <row r="261" spans="5:7" x14ac:dyDescent="0.2">
      <c r="E261" s="248"/>
      <c r="G261" s="162"/>
    </row>
    <row r="262" spans="5:7" x14ac:dyDescent="0.2">
      <c r="E262" s="248"/>
      <c r="G262" s="162"/>
    </row>
    <row r="263" spans="5:7" x14ac:dyDescent="0.2">
      <c r="E263" s="248"/>
      <c r="G263" s="162"/>
    </row>
    <row r="264" spans="5:7" x14ac:dyDescent="0.2">
      <c r="E264" s="248"/>
      <c r="G264" s="162"/>
    </row>
    <row r="265" spans="5:7" x14ac:dyDescent="0.2">
      <c r="E265" s="248"/>
      <c r="G265" s="162"/>
    </row>
    <row r="266" spans="5:7" x14ac:dyDescent="0.2">
      <c r="E266" s="248"/>
      <c r="G266" s="162"/>
    </row>
    <row r="267" spans="5:7" x14ac:dyDescent="0.2">
      <c r="E267" s="248"/>
      <c r="G267" s="162"/>
    </row>
    <row r="268" spans="5:7" x14ac:dyDescent="0.2">
      <c r="E268" s="248"/>
      <c r="G268" s="162"/>
    </row>
    <row r="269" spans="5:7" x14ac:dyDescent="0.2">
      <c r="E269" s="248"/>
      <c r="G269" s="162"/>
    </row>
    <row r="270" spans="5:7" x14ac:dyDescent="0.2">
      <c r="E270" s="248"/>
      <c r="G270" s="162"/>
    </row>
    <row r="271" spans="5:7" x14ac:dyDescent="0.2">
      <c r="E271" s="248"/>
    </row>
    <row r="272" spans="5:7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</sheetData>
  <phoneticPr fontId="3" type="noConversion"/>
  <pageMargins left="0.4" right="0.39" top="1" bottom="1" header="0.5" footer="0.5"/>
  <pageSetup scale="54" fitToHeight="3" orientation="landscape" r:id="rId1"/>
  <headerFooter alignWithMargins="0">
    <oddFooter>&amp;RAPPENDIX A
SCHEDULE 2
Retirements
PAGE &amp;P OF &amp;N</oddFooter>
  </headerFooter>
  <ignoredErrors>
    <ignoredError sqref="B1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12"/>
  </sheetPr>
  <dimension ref="A4:K18"/>
  <sheetViews>
    <sheetView showGridLines="0" zoomScaleNormal="60" workbookViewId="0"/>
  </sheetViews>
  <sheetFormatPr defaultRowHeight="12.75" x14ac:dyDescent="0.2"/>
  <cols>
    <col min="1" max="16384" width="9.140625" style="29"/>
  </cols>
  <sheetData>
    <row r="4" spans="1:11" ht="20.25" x14ac:dyDescent="0.3">
      <c r="A4" s="271" t="s">
        <v>161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8" spans="1:11" ht="18" x14ac:dyDescent="0.25">
      <c r="B8" s="185" t="s">
        <v>158</v>
      </c>
      <c r="C8" s="185"/>
      <c r="D8" s="186" t="s">
        <v>46</v>
      </c>
      <c r="E8" s="185"/>
      <c r="F8" s="185"/>
      <c r="G8" s="185"/>
      <c r="H8" s="185"/>
    </row>
    <row r="9" spans="1:11" ht="18" x14ac:dyDescent="0.25">
      <c r="B9" s="185"/>
      <c r="C9" s="185"/>
      <c r="D9" s="186"/>
      <c r="E9" s="185"/>
      <c r="F9" s="185"/>
      <c r="G9" s="185"/>
      <c r="H9" s="185"/>
    </row>
    <row r="10" spans="1:11" ht="18" x14ac:dyDescent="0.25">
      <c r="B10" s="185" t="s">
        <v>159</v>
      </c>
      <c r="C10" s="185"/>
      <c r="D10" s="186" t="s">
        <v>71</v>
      </c>
      <c r="E10" s="185"/>
      <c r="F10" s="185"/>
      <c r="G10" s="185"/>
      <c r="H10" s="185"/>
    </row>
    <row r="11" spans="1:11" ht="18" x14ac:dyDescent="0.25">
      <c r="B11" s="185"/>
      <c r="C11" s="185"/>
      <c r="D11" s="185"/>
      <c r="E11" s="185"/>
    </row>
    <row r="12" spans="1:11" ht="18" x14ac:dyDescent="0.25">
      <c r="B12" s="185" t="s">
        <v>162</v>
      </c>
      <c r="C12" s="185"/>
      <c r="D12" s="186" t="s">
        <v>166</v>
      </c>
      <c r="E12" s="185"/>
    </row>
    <row r="13" spans="1:11" ht="18" x14ac:dyDescent="0.25">
      <c r="B13" s="185"/>
      <c r="C13" s="185"/>
      <c r="D13" s="186"/>
      <c r="E13" s="185"/>
    </row>
    <row r="14" spans="1:11" ht="18" x14ac:dyDescent="0.25">
      <c r="B14" s="185" t="s">
        <v>163</v>
      </c>
      <c r="C14" s="185"/>
      <c r="D14" s="186" t="s">
        <v>167</v>
      </c>
      <c r="E14" s="185"/>
    </row>
    <row r="15" spans="1:11" ht="18" x14ac:dyDescent="0.25">
      <c r="B15" s="185"/>
      <c r="C15" s="185"/>
      <c r="D15" s="185"/>
      <c r="E15" s="185"/>
    </row>
    <row r="16" spans="1:11" ht="18" x14ac:dyDescent="0.25">
      <c r="B16" s="185" t="s">
        <v>164</v>
      </c>
      <c r="C16" s="185"/>
      <c r="D16" s="186" t="s">
        <v>168</v>
      </c>
      <c r="E16" s="185"/>
    </row>
    <row r="17" spans="2:5" ht="18" x14ac:dyDescent="0.25">
      <c r="B17" s="185"/>
      <c r="C17" s="185"/>
      <c r="D17" s="186"/>
      <c r="E17" s="185"/>
    </row>
    <row r="18" spans="2:5" ht="18" x14ac:dyDescent="0.25">
      <c r="B18" s="185" t="s">
        <v>165</v>
      </c>
      <c r="C18" s="185"/>
      <c r="D18" s="186" t="s">
        <v>95</v>
      </c>
      <c r="E18" s="185"/>
    </row>
  </sheetData>
  <mergeCells count="1">
    <mergeCell ref="A4:K4"/>
  </mergeCells>
  <phoneticPr fontId="3" type="noConversion"/>
  <pageMargins left="0.75" right="0.75" top="1" bottom="1" header="0.5" footer="0.5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12"/>
    <pageSetUpPr fitToPage="1"/>
  </sheetPr>
  <dimension ref="A1:F59"/>
  <sheetViews>
    <sheetView showGridLines="0" zoomScale="90" zoomScaleNormal="90" zoomScaleSheetLayoutView="85" workbookViewId="0">
      <selection sqref="A1:E1"/>
    </sheetView>
  </sheetViews>
  <sheetFormatPr defaultRowHeight="12.75" x14ac:dyDescent="0.2"/>
  <cols>
    <col min="1" max="1" width="79.7109375" customWidth="1"/>
    <col min="2" max="2" width="11.140625" bestFit="1" customWidth="1"/>
    <col min="3" max="3" width="9.28515625" bestFit="1" customWidth="1"/>
    <col min="4" max="4" width="9.5703125" bestFit="1" customWidth="1"/>
    <col min="5" max="5" width="11.42578125" customWidth="1"/>
    <col min="6" max="6" width="9.7109375" bestFit="1" customWidth="1"/>
  </cols>
  <sheetData>
    <row r="1" spans="1:6" ht="15" x14ac:dyDescent="0.25">
      <c r="A1" s="272" t="s">
        <v>363</v>
      </c>
      <c r="B1" s="272"/>
      <c r="C1" s="272"/>
      <c r="D1" s="272"/>
      <c r="E1" s="272"/>
    </row>
    <row r="2" spans="1:6" ht="15" x14ac:dyDescent="0.25">
      <c r="A2" s="272" t="s">
        <v>115</v>
      </c>
      <c r="B2" s="272"/>
      <c r="C2" s="272"/>
      <c r="D2" s="272"/>
      <c r="E2" s="272"/>
    </row>
    <row r="3" spans="1:6" ht="15" x14ac:dyDescent="0.25">
      <c r="A3" s="272" t="s">
        <v>46</v>
      </c>
      <c r="B3" s="272"/>
      <c r="C3" s="272"/>
      <c r="D3" s="272"/>
      <c r="E3" s="272"/>
    </row>
    <row r="4" spans="1:6" x14ac:dyDescent="0.2">
      <c r="A4" s="273"/>
      <c r="B4" s="273"/>
      <c r="C4" s="273"/>
      <c r="D4" s="273"/>
      <c r="E4" s="273"/>
    </row>
    <row r="5" spans="1:6" x14ac:dyDescent="0.2">
      <c r="A5" s="90"/>
      <c r="B5" s="90"/>
      <c r="C5" s="90"/>
      <c r="D5" s="90"/>
      <c r="E5" s="90"/>
    </row>
    <row r="6" spans="1:6" x14ac:dyDescent="0.2">
      <c r="A6" s="90"/>
      <c r="B6" s="90"/>
      <c r="C6" s="90"/>
      <c r="D6" s="90"/>
      <c r="E6" s="90"/>
    </row>
    <row r="7" spans="1:6" x14ac:dyDescent="0.2">
      <c r="A7" s="21" t="s">
        <v>47</v>
      </c>
      <c r="B7" s="90" t="s">
        <v>88</v>
      </c>
      <c r="C7" s="16"/>
      <c r="D7" s="16"/>
      <c r="E7" s="16"/>
    </row>
    <row r="8" spans="1:6" x14ac:dyDescent="0.2">
      <c r="A8" s="21"/>
      <c r="B8" s="108" t="s">
        <v>48</v>
      </c>
      <c r="C8" s="109" t="s">
        <v>116</v>
      </c>
      <c r="D8" s="109" t="s">
        <v>117</v>
      </c>
      <c r="E8" s="109" t="s">
        <v>118</v>
      </c>
      <c r="F8" s="22"/>
    </row>
    <row r="9" spans="1:6" x14ac:dyDescent="0.2">
      <c r="A9" s="21" t="s">
        <v>49</v>
      </c>
      <c r="C9" s="22"/>
      <c r="D9" s="22"/>
      <c r="E9" s="22"/>
      <c r="F9" s="22"/>
    </row>
    <row r="10" spans="1:6" x14ac:dyDescent="0.2">
      <c r="A10" s="23" t="s">
        <v>50</v>
      </c>
      <c r="C10" s="22"/>
      <c r="D10" s="22"/>
      <c r="E10" s="22"/>
      <c r="F10" s="22"/>
    </row>
    <row r="11" spans="1:6" x14ac:dyDescent="0.2">
      <c r="A11" s="24" t="s">
        <v>51</v>
      </c>
      <c r="B11" s="70">
        <f>SUM(C11:E11)</f>
        <v>1859000.7500000005</v>
      </c>
      <c r="C11" s="25">
        <f>'Eligible Replmnts'!E36</f>
        <v>47603.000000000022</v>
      </c>
      <c r="D11" s="25">
        <f>'Eligible Replmnts'!E194</f>
        <v>375623.61000000034</v>
      </c>
      <c r="E11" s="25">
        <f>'Eligible Replmnts'!E280</f>
        <v>1435774.1400000001</v>
      </c>
      <c r="F11" s="26"/>
    </row>
    <row r="12" spans="1:6" x14ac:dyDescent="0.2">
      <c r="A12" s="24" t="s">
        <v>52</v>
      </c>
      <c r="B12" s="72">
        <f>SUM(C12:E12)</f>
        <v>-41385.819999999985</v>
      </c>
      <c r="C12" s="72">
        <f>-'Eligible Replmnts'!H36</f>
        <v>-423.13000000000005</v>
      </c>
      <c r="D12" s="72">
        <f>-'Eligible Replmnts'!H194</f>
        <v>-4128.329999999999</v>
      </c>
      <c r="E12" s="72">
        <f>-'Eligible Replmnts'!H280</f>
        <v>-36834.359999999986</v>
      </c>
      <c r="F12" s="26"/>
    </row>
    <row r="13" spans="1:6" x14ac:dyDescent="0.2">
      <c r="A13" s="24"/>
      <c r="C13" s="26"/>
      <c r="D13" s="26"/>
      <c r="E13" s="26"/>
      <c r="F13" s="22"/>
    </row>
    <row r="14" spans="1:6" x14ac:dyDescent="0.2">
      <c r="A14" s="21" t="s">
        <v>53</v>
      </c>
      <c r="B14" s="27">
        <f>SUM(B11:B12)</f>
        <v>1817614.9300000004</v>
      </c>
      <c r="C14" s="27">
        <f>SUM(C11:C12)</f>
        <v>47179.870000000024</v>
      </c>
      <c r="D14" s="27">
        <f>SUM(D11:D12)</f>
        <v>371495.28000000032</v>
      </c>
      <c r="E14" s="27">
        <f>SUM(E11:E12)</f>
        <v>1398939.7800000003</v>
      </c>
      <c r="F14" s="26"/>
    </row>
    <row r="15" spans="1:6" x14ac:dyDescent="0.2">
      <c r="A15" s="28"/>
      <c r="C15" s="26"/>
      <c r="D15" s="26"/>
      <c r="E15" s="26"/>
      <c r="F15" s="22"/>
    </row>
    <row r="16" spans="1:6" x14ac:dyDescent="0.2">
      <c r="A16" s="21" t="s">
        <v>54</v>
      </c>
      <c r="C16" s="26"/>
      <c r="D16" s="26"/>
      <c r="E16" s="26"/>
      <c r="F16" s="22"/>
    </row>
    <row r="17" spans="1:6" x14ac:dyDescent="0.2">
      <c r="A17" s="23" t="s">
        <v>50</v>
      </c>
      <c r="C17" s="26"/>
      <c r="D17" s="26"/>
      <c r="E17" s="26"/>
      <c r="F17" s="22"/>
    </row>
    <row r="18" spans="1:6" x14ac:dyDescent="0.2">
      <c r="A18" s="24" t="s">
        <v>51</v>
      </c>
      <c r="B18" s="71">
        <f>SUM(C18:E18)</f>
        <v>855462.79000000027</v>
      </c>
      <c r="C18" s="26">
        <f>'Eligible Replmnts'!E308</f>
        <v>49362.570000000022</v>
      </c>
      <c r="D18" s="26">
        <f>'Eligible Replmnts'!E375</f>
        <v>401123.42000000016</v>
      </c>
      <c r="E18" s="26">
        <f>'Eligible Replmnts'!E424</f>
        <v>404976.80000000016</v>
      </c>
      <c r="F18" s="26"/>
    </row>
    <row r="19" spans="1:6" x14ac:dyDescent="0.2">
      <c r="A19" s="24" t="s">
        <v>52</v>
      </c>
      <c r="B19" s="72">
        <f>SUM(C19:E19)</f>
        <v>-34432.99</v>
      </c>
      <c r="C19" s="72">
        <f>-'Eligible Replmnts'!H308</f>
        <v>-1706.5499999999995</v>
      </c>
      <c r="D19" s="72">
        <f>-'Eligible Replmnts'!H375</f>
        <v>-15752.480000000003</v>
      </c>
      <c r="E19" s="72">
        <f>-'Eligible Replmnts'!H424</f>
        <v>-16973.959999999995</v>
      </c>
      <c r="F19" s="26"/>
    </row>
    <row r="20" spans="1:6" x14ac:dyDescent="0.2">
      <c r="A20" s="24"/>
      <c r="B20" s="29"/>
      <c r="C20" s="26"/>
      <c r="D20" s="26"/>
      <c r="E20" s="26"/>
      <c r="F20" s="22"/>
    </row>
    <row r="21" spans="1:6" x14ac:dyDescent="0.2">
      <c r="A21" s="28" t="s">
        <v>55</v>
      </c>
      <c r="B21" s="27">
        <f>SUM(B18:B19)</f>
        <v>821029.80000000028</v>
      </c>
      <c r="C21" s="27">
        <f>SUM(C18:C19)</f>
        <v>47656.020000000019</v>
      </c>
      <c r="D21" s="27">
        <f>SUM(D18:D19)</f>
        <v>385370.94000000018</v>
      </c>
      <c r="E21" s="27">
        <f>SUM(E18:E19)</f>
        <v>388002.84000000014</v>
      </c>
      <c r="F21" s="26"/>
    </row>
    <row r="22" spans="1:6" x14ac:dyDescent="0.2">
      <c r="A22" s="28"/>
      <c r="C22" s="26"/>
      <c r="D22" s="26"/>
      <c r="E22" s="26"/>
      <c r="F22" s="22"/>
    </row>
    <row r="23" spans="1:6" x14ac:dyDescent="0.2">
      <c r="A23" s="21" t="s">
        <v>56</v>
      </c>
      <c r="C23" s="26"/>
      <c r="D23" s="26"/>
      <c r="E23" s="26"/>
      <c r="F23" s="22"/>
    </row>
    <row r="24" spans="1:6" x14ac:dyDescent="0.2">
      <c r="A24" s="23" t="s">
        <v>50</v>
      </c>
      <c r="C24" s="26"/>
      <c r="D24" s="26"/>
      <c r="E24" s="26"/>
      <c r="F24" s="22"/>
    </row>
    <row r="25" spans="1:6" x14ac:dyDescent="0.2">
      <c r="A25" s="24" t="s">
        <v>51</v>
      </c>
      <c r="B25" s="26">
        <f>SUM(C25:E25)</f>
        <v>3610123.6500000032</v>
      </c>
      <c r="C25" s="26">
        <f>'Eligible Replmnts'!E463</f>
        <v>108595.50000000001</v>
      </c>
      <c r="D25" s="26">
        <f>'Eligible Replmnts'!E562</f>
        <v>3282928.8400000031</v>
      </c>
      <c r="E25" s="26">
        <f>'Eligible Replmnts'!E656</f>
        <v>218599.31000000006</v>
      </c>
      <c r="F25" s="26"/>
    </row>
    <row r="26" spans="1:6" x14ac:dyDescent="0.2">
      <c r="A26" s="24" t="s">
        <v>52</v>
      </c>
      <c r="B26" s="72">
        <f>-'Eligible Replmnts'!H658</f>
        <v>-125576.22000000003</v>
      </c>
      <c r="C26" s="72">
        <f>-'Eligible Replmnts'!H463</f>
        <v>-2243.8599999999997</v>
      </c>
      <c r="D26" s="72">
        <f>-'Eligible Replmnts'!H562</f>
        <v>-116747.13000000003</v>
      </c>
      <c r="E26" s="72">
        <f>-'Eligible Replmnts'!H656</f>
        <v>-6585.2299999999987</v>
      </c>
      <c r="F26" s="26"/>
    </row>
    <row r="27" spans="1:6" x14ac:dyDescent="0.2">
      <c r="A27" s="24"/>
      <c r="C27" s="26"/>
      <c r="D27" s="26"/>
      <c r="E27" s="26"/>
      <c r="F27" s="22"/>
    </row>
    <row r="28" spans="1:6" x14ac:dyDescent="0.2">
      <c r="A28" s="28" t="s">
        <v>53</v>
      </c>
      <c r="B28" s="27">
        <f>SUM(B25:B26)</f>
        <v>3484547.430000003</v>
      </c>
      <c r="C28" s="27">
        <f>SUM(C25:C26)</f>
        <v>106351.64000000001</v>
      </c>
      <c r="D28" s="27">
        <f>SUM(D25:D26)</f>
        <v>3166181.7100000032</v>
      </c>
      <c r="E28" s="27">
        <f>SUM(E25:E26)</f>
        <v>212014.08000000005</v>
      </c>
      <c r="F28" s="26"/>
    </row>
    <row r="29" spans="1:6" x14ac:dyDescent="0.2">
      <c r="A29" s="28"/>
      <c r="C29" s="26"/>
      <c r="D29" s="26"/>
      <c r="E29" s="26"/>
      <c r="F29" s="22"/>
    </row>
    <row r="30" spans="1:6" x14ac:dyDescent="0.2">
      <c r="A30" s="21" t="s">
        <v>57</v>
      </c>
      <c r="C30" s="26"/>
      <c r="D30" s="26"/>
      <c r="E30" s="26"/>
      <c r="F30" s="22"/>
    </row>
    <row r="31" spans="1:6" x14ac:dyDescent="0.2">
      <c r="A31" s="23" t="s">
        <v>50</v>
      </c>
      <c r="C31" s="26"/>
      <c r="D31" s="26"/>
      <c r="E31" s="26"/>
      <c r="F31" s="22"/>
    </row>
    <row r="32" spans="1:6" x14ac:dyDescent="0.2">
      <c r="A32" s="24" t="s">
        <v>51</v>
      </c>
      <c r="B32" s="26">
        <f>SUM(C32:E32)</f>
        <v>2778.67</v>
      </c>
      <c r="C32" s="26">
        <v>0</v>
      </c>
      <c r="D32" s="26">
        <f>'Eligible Replmnts'!E668</f>
        <v>2778.67</v>
      </c>
      <c r="E32" s="26">
        <v>0</v>
      </c>
      <c r="F32" s="26"/>
    </row>
    <row r="33" spans="1:6" x14ac:dyDescent="0.2">
      <c r="A33" s="24" t="s">
        <v>52</v>
      </c>
      <c r="B33" s="72">
        <f>SUM(C33:E33)</f>
        <v>-87.52</v>
      </c>
      <c r="C33" s="72">
        <v>0</v>
      </c>
      <c r="D33" s="72">
        <f>-'Eligible Replmnts'!H668</f>
        <v>-87.52</v>
      </c>
      <c r="E33" s="72">
        <v>0</v>
      </c>
      <c r="F33" s="26"/>
    </row>
    <row r="34" spans="1:6" x14ac:dyDescent="0.2">
      <c r="A34" s="24"/>
      <c r="C34" s="73"/>
      <c r="F34" s="22"/>
    </row>
    <row r="35" spans="1:6" x14ac:dyDescent="0.2">
      <c r="A35" s="28" t="s">
        <v>55</v>
      </c>
      <c r="B35" s="27">
        <f>SUM(B32:B33)</f>
        <v>2691.15</v>
      </c>
      <c r="C35" s="74">
        <f>SUM(C32:C33)</f>
        <v>0</v>
      </c>
      <c r="D35" s="27">
        <f>SUM(D32:D33)</f>
        <v>2691.15</v>
      </c>
      <c r="E35" s="27">
        <f>SUM(E32:E33)</f>
        <v>0</v>
      </c>
      <c r="F35" s="26"/>
    </row>
    <row r="36" spans="1:6" x14ac:dyDescent="0.2">
      <c r="A36" s="28"/>
      <c r="B36" s="234"/>
      <c r="C36" s="235"/>
      <c r="D36" s="234"/>
      <c r="E36" s="234"/>
      <c r="F36" s="26"/>
    </row>
    <row r="37" spans="1:6" x14ac:dyDescent="0.2">
      <c r="A37" s="28" t="s">
        <v>10</v>
      </c>
      <c r="B37" s="234">
        <f>SUM(C37:E37)</f>
        <v>-154364.93226054742</v>
      </c>
      <c r="C37" s="235">
        <f>'Deferred Taxes'!J29</f>
        <v>-5456.4630876391675</v>
      </c>
      <c r="D37" s="234">
        <f>'Deferred Taxes'!J39</f>
        <v>-37648.901286664819</v>
      </c>
      <c r="E37" s="234">
        <f>'Deferred Taxes'!J19</f>
        <v>-111259.56788624341</v>
      </c>
      <c r="F37" s="26"/>
    </row>
    <row r="38" spans="1:6" x14ac:dyDescent="0.2">
      <c r="A38" s="28"/>
      <c r="B38" s="234"/>
      <c r="C38" s="235"/>
      <c r="D38" s="234"/>
      <c r="E38" s="234"/>
      <c r="F38" s="26"/>
    </row>
    <row r="39" spans="1:6" x14ac:dyDescent="0.2">
      <c r="A39" s="28"/>
      <c r="C39" s="26"/>
      <c r="D39" s="26"/>
      <c r="E39" s="26"/>
      <c r="F39" s="22"/>
    </row>
    <row r="40" spans="1:6" x14ac:dyDescent="0.2">
      <c r="A40" s="28" t="s">
        <v>58</v>
      </c>
      <c r="B40" s="30">
        <f>B14+B21+B28+B35+B37</f>
        <v>5971518.3777394565</v>
      </c>
      <c r="C40" s="30">
        <f t="shared" ref="C40:E40" si="0">C14+C21+C28+C35+C37</f>
        <v>195731.0669123609</v>
      </c>
      <c r="D40" s="30">
        <f t="shared" si="0"/>
        <v>3888090.1787133384</v>
      </c>
      <c r="E40" s="30">
        <f t="shared" si="0"/>
        <v>1887697.1321137571</v>
      </c>
      <c r="F40" s="26"/>
    </row>
    <row r="41" spans="1:6" x14ac:dyDescent="0.2">
      <c r="A41" s="28" t="s">
        <v>59</v>
      </c>
      <c r="B41" s="110">
        <f>'Wgt Cost of Cap'!F16</f>
        <v>8.3402926516625508E-2</v>
      </c>
      <c r="C41" s="110">
        <f>'Wgt Cost of Cap'!F16</f>
        <v>8.3402926516625508E-2</v>
      </c>
      <c r="D41" s="110">
        <f>'Wgt Cost of Cap'!F16</f>
        <v>8.3402926516625508E-2</v>
      </c>
      <c r="E41" s="110">
        <f>'Wgt Cost of Cap'!F16</f>
        <v>8.3402926516625508E-2</v>
      </c>
      <c r="F41" s="22"/>
    </row>
    <row r="42" spans="1:6" x14ac:dyDescent="0.2">
      <c r="A42" s="28" t="s">
        <v>60</v>
      </c>
      <c r="B42" s="30">
        <f>B40*B41</f>
        <v>498042.10845128266</v>
      </c>
      <c r="C42" s="30">
        <f>C40*C41</f>
        <v>16324.543790712347</v>
      </c>
      <c r="D42" s="30">
        <f>D40*D41</f>
        <v>324278.09946524189</v>
      </c>
      <c r="E42" s="30">
        <f>E40*E41</f>
        <v>157439.4651953284</v>
      </c>
      <c r="F42" s="26"/>
    </row>
    <row r="43" spans="1:6" x14ac:dyDescent="0.2">
      <c r="A43" s="28" t="s">
        <v>61</v>
      </c>
      <c r="B43" s="111">
        <f>'Tax Rate Cal'!$C$20</f>
        <v>0.609375</v>
      </c>
      <c r="C43" s="111">
        <f>'Tax Rate Cal'!$C$20</f>
        <v>0.609375</v>
      </c>
      <c r="D43" s="111">
        <f>'Tax Rate Cal'!$C$20</f>
        <v>0.609375</v>
      </c>
      <c r="E43" s="111">
        <f>'Tax Rate Cal'!$C$20</f>
        <v>0.609375</v>
      </c>
      <c r="F43" s="22"/>
    </row>
    <row r="44" spans="1:6" x14ac:dyDescent="0.2">
      <c r="A44" s="28" t="s">
        <v>62</v>
      </c>
      <c r="B44" s="130">
        <f>B42*B43</f>
        <v>303494.40983750037</v>
      </c>
      <c r="C44" s="130">
        <f>C42*C43</f>
        <v>9947.7688724653362</v>
      </c>
      <c r="D44" s="130">
        <f>D42*D43</f>
        <v>197606.96686163178</v>
      </c>
      <c r="E44" s="130">
        <f>E42*E43</f>
        <v>95939.674103403246</v>
      </c>
      <c r="F44" s="26"/>
    </row>
    <row r="45" spans="1:6" x14ac:dyDescent="0.2">
      <c r="A45" s="28"/>
      <c r="B45" s="131"/>
      <c r="C45" s="131"/>
      <c r="D45" s="131"/>
      <c r="E45" s="131"/>
      <c r="F45" s="22"/>
    </row>
    <row r="46" spans="1:6" x14ac:dyDescent="0.2">
      <c r="A46" s="28" t="s">
        <v>58</v>
      </c>
      <c r="B46" s="131">
        <f>B40</f>
        <v>5971518.3777394565</v>
      </c>
      <c r="C46" s="131">
        <f>C40</f>
        <v>195731.0669123609</v>
      </c>
      <c r="D46" s="131">
        <f>D40</f>
        <v>3888090.1787133384</v>
      </c>
      <c r="E46" s="131">
        <f>E40</f>
        <v>1887697.1321137571</v>
      </c>
      <c r="F46" s="26"/>
    </row>
    <row r="47" spans="1:6" x14ac:dyDescent="0.2">
      <c r="A47" s="28" t="s">
        <v>63</v>
      </c>
      <c r="B47" s="110">
        <f>'Wgt Cost of Cap'!F14</f>
        <v>3.2391632154856687E-2</v>
      </c>
      <c r="C47" s="110">
        <f>'Wgt Cost of Cap'!F14</f>
        <v>3.2391632154856687E-2</v>
      </c>
      <c r="D47" s="110">
        <f>'Wgt Cost of Cap'!F14</f>
        <v>3.2391632154856687E-2</v>
      </c>
      <c r="E47" s="110">
        <f>'Wgt Cost of Cap'!F14</f>
        <v>3.2391632154856687E-2</v>
      </c>
      <c r="F47" s="22"/>
    </row>
    <row r="48" spans="1:6" x14ac:dyDescent="0.2">
      <c r="A48" s="28" t="s">
        <v>64</v>
      </c>
      <c r="B48" s="131">
        <f>B46*B47</f>
        <v>193427.22669770301</v>
      </c>
      <c r="C48" s="131">
        <f>C46*C47</f>
        <v>6340.0487207028345</v>
      </c>
      <c r="D48" s="131">
        <f>D46*D47</f>
        <v>125941.58685379346</v>
      </c>
      <c r="E48" s="131">
        <f>E46*E47</f>
        <v>61145.591123206723</v>
      </c>
      <c r="F48" s="26"/>
    </row>
    <row r="49" spans="1:6" x14ac:dyDescent="0.2">
      <c r="A49" s="28" t="s">
        <v>65</v>
      </c>
      <c r="B49" s="110">
        <f>CompositTaxRate</f>
        <v>0.390625</v>
      </c>
      <c r="C49" s="110">
        <f>CompositTaxRate</f>
        <v>0.390625</v>
      </c>
      <c r="D49" s="110">
        <f>CompositTaxRate</f>
        <v>0.390625</v>
      </c>
      <c r="E49" s="110">
        <f>CompositTaxRate</f>
        <v>0.390625</v>
      </c>
      <c r="F49" s="22"/>
    </row>
    <row r="50" spans="1:6" x14ac:dyDescent="0.2">
      <c r="A50" s="28" t="s">
        <v>66</v>
      </c>
      <c r="B50" s="30">
        <f>B48*B49</f>
        <v>75557.510428790236</v>
      </c>
      <c r="C50" s="30">
        <f>C48*C49</f>
        <v>2476.5815315245445</v>
      </c>
      <c r="D50" s="30">
        <f>D48*D49</f>
        <v>49195.932364763066</v>
      </c>
      <c r="E50" s="30">
        <f>E48*E49</f>
        <v>23884.996532502628</v>
      </c>
      <c r="F50" s="26"/>
    </row>
    <row r="51" spans="1:6" x14ac:dyDescent="0.2">
      <c r="A51" s="28" t="s">
        <v>61</v>
      </c>
      <c r="B51" s="32">
        <f>B43</f>
        <v>0.609375</v>
      </c>
      <c r="C51" s="32">
        <f>C43</f>
        <v>0.609375</v>
      </c>
      <c r="D51" s="32">
        <f>D43</f>
        <v>0.609375</v>
      </c>
      <c r="E51" s="32">
        <f>E43</f>
        <v>0.609375</v>
      </c>
      <c r="F51" s="22"/>
    </row>
    <row r="52" spans="1:6" x14ac:dyDescent="0.2">
      <c r="A52" s="28" t="s">
        <v>67</v>
      </c>
      <c r="B52" s="31">
        <f>B50*B51</f>
        <v>46042.857917544054</v>
      </c>
      <c r="C52" s="31">
        <f>C50*C51</f>
        <v>1509.1668707727692</v>
      </c>
      <c r="D52" s="31">
        <f>D50*D51</f>
        <v>29978.771284777493</v>
      </c>
      <c r="E52" s="31">
        <f>E50*E51</f>
        <v>14554.91976199379</v>
      </c>
      <c r="F52" s="26"/>
    </row>
    <row r="53" spans="1:6" x14ac:dyDescent="0.2">
      <c r="A53" s="28"/>
      <c r="B53" s="30"/>
      <c r="C53" s="30"/>
      <c r="D53" s="30"/>
      <c r="E53" s="30"/>
      <c r="F53" s="22"/>
    </row>
    <row r="54" spans="1:6" x14ac:dyDescent="0.2">
      <c r="A54" s="28" t="s">
        <v>68</v>
      </c>
      <c r="B54" s="30">
        <f>B44-B52</f>
        <v>257451.55191995631</v>
      </c>
      <c r="C54" s="30">
        <f>C44-C52</f>
        <v>8438.6020016925668</v>
      </c>
      <c r="D54" s="30">
        <f>D44-D52</f>
        <v>167628.19557685428</v>
      </c>
      <c r="E54" s="30">
        <f>E44-E52</f>
        <v>81384.754341409454</v>
      </c>
      <c r="F54" s="26"/>
    </row>
    <row r="55" spans="1:6" x14ac:dyDescent="0.2">
      <c r="A55" s="28" t="s">
        <v>69</v>
      </c>
      <c r="B55" s="131">
        <f>SUM(C55:E55)</f>
        <v>230499.81999999986</v>
      </c>
      <c r="C55" s="131">
        <f>'Eligible Replmnts'!I36+'Eligible Replmnts'!I308+'Eligible Replmnts'!I463+Retrmnts!I15</f>
        <v>6203.63</v>
      </c>
      <c r="D55" s="131">
        <f>'Eligible Replmnts'!I194+'Eligible Replmnts'!I375+'Eligible Replmnts'!I562+'Eligible Replmnts'!I668+Retrmnts!I49+Retrmnts!I120+Retrmnts!I155</f>
        <v>165582.06999999989</v>
      </c>
      <c r="E55" s="131">
        <f>+'Eligible Replmnts'!I280+'Eligible Replmnts'!I424+'Eligible Replmnts'!I656+Retrmnts!I99+Retrmnts!I142+Retrmnts!I164</f>
        <v>58714.119999999974</v>
      </c>
      <c r="F55" s="26"/>
    </row>
    <row r="56" spans="1:6" x14ac:dyDescent="0.2">
      <c r="A56" s="28" t="s">
        <v>14</v>
      </c>
      <c r="B56" s="33">
        <f>SUM(C56:E56)</f>
        <v>162718.28486278455</v>
      </c>
      <c r="C56" s="33">
        <f>'Property Taxes'!C9</f>
        <v>5561.5277911464837</v>
      </c>
      <c r="D56" s="33">
        <f>'Property Taxes'!C10</f>
        <v>36524.868364649912</v>
      </c>
      <c r="E56" s="33">
        <f>'Property Taxes'!C8</f>
        <v>120631.88870698816</v>
      </c>
      <c r="F56" s="22"/>
    </row>
    <row r="57" spans="1:6" x14ac:dyDescent="0.2">
      <c r="A57" s="28"/>
      <c r="B57" s="30"/>
      <c r="C57" s="30"/>
      <c r="D57" s="30"/>
      <c r="E57" s="30"/>
      <c r="F57" s="22"/>
    </row>
    <row r="58" spans="1:6" ht="13.5" thickBot="1" x14ac:dyDescent="0.25">
      <c r="A58" s="28" t="s">
        <v>70</v>
      </c>
      <c r="B58" s="34">
        <f>SUM(C58:E58)</f>
        <v>650669.65678274073</v>
      </c>
      <c r="C58" s="34">
        <f>C54+C55+C56</f>
        <v>20203.75979283905</v>
      </c>
      <c r="D58" s="34">
        <f>D54+D55+D56</f>
        <v>369735.13394150406</v>
      </c>
      <c r="E58" s="34">
        <f>E54+E55+E56</f>
        <v>260730.76304839758</v>
      </c>
      <c r="F58" s="26"/>
    </row>
    <row r="59" spans="1:6" ht="13.5" thickTop="1" x14ac:dyDescent="0.2"/>
  </sheetData>
  <mergeCells count="4">
    <mergeCell ref="A1:E1"/>
    <mergeCell ref="A3:E3"/>
    <mergeCell ref="A4:E4"/>
    <mergeCell ref="A2:E2"/>
  </mergeCells>
  <phoneticPr fontId="3" type="noConversion"/>
  <pageMargins left="0.75" right="0.75" top="1" bottom="0.91" header="0.5" footer="0.27"/>
  <pageSetup scale="74" orientation="portrait" r:id="rId1"/>
  <headerFooter alignWithMargins="0">
    <oddFooter>&amp;R&amp;9APPENDIX B
SCHEDULE 1
Revenue Requirements
PAGE &amp;P of &amp;N</oddFooter>
  </headerFooter>
  <ignoredErrors>
    <ignoredError sqref="B43:E43 B49:E49 B51:E5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indexed="12"/>
  </sheetPr>
  <dimension ref="A1:D21"/>
  <sheetViews>
    <sheetView showGridLines="0" zoomScale="85" zoomScaleNormal="85" zoomScaleSheetLayoutView="80" workbookViewId="0">
      <selection sqref="A1:D1"/>
    </sheetView>
  </sheetViews>
  <sheetFormatPr defaultRowHeight="12.75" x14ac:dyDescent="0.2"/>
  <cols>
    <col min="1" max="1" width="52.42578125" customWidth="1"/>
    <col min="2" max="2" width="17.85546875" bestFit="1" customWidth="1"/>
    <col min="3" max="3" width="1.7109375" customWidth="1"/>
    <col min="4" max="4" width="20.7109375" customWidth="1"/>
  </cols>
  <sheetData>
    <row r="1" spans="1:4" ht="15.75" x14ac:dyDescent="0.25">
      <c r="A1" s="270" t="s">
        <v>363</v>
      </c>
      <c r="B1" s="270"/>
      <c r="C1" s="270"/>
      <c r="D1" s="270"/>
    </row>
    <row r="2" spans="1:4" ht="15.75" x14ac:dyDescent="0.25">
      <c r="A2" s="270" t="s">
        <v>115</v>
      </c>
      <c r="B2" s="270"/>
      <c r="C2" s="270"/>
      <c r="D2" s="270"/>
    </row>
    <row r="3" spans="1:4" ht="15.75" x14ac:dyDescent="0.25">
      <c r="A3" s="270" t="s">
        <v>71</v>
      </c>
      <c r="B3" s="270"/>
      <c r="C3" s="270"/>
      <c r="D3" s="270"/>
    </row>
    <row r="6" spans="1:4" x14ac:dyDescent="0.2">
      <c r="B6" s="35" t="s">
        <v>2</v>
      </c>
      <c r="C6" s="35"/>
      <c r="D6" s="35" t="s">
        <v>4</v>
      </c>
    </row>
    <row r="7" spans="1:4" ht="13.5" thickBot="1" x14ac:dyDescent="0.25">
      <c r="A7" s="104" t="s">
        <v>114</v>
      </c>
      <c r="B7" s="76" t="s">
        <v>72</v>
      </c>
      <c r="C7" s="76"/>
      <c r="D7" s="76" t="s">
        <v>72</v>
      </c>
    </row>
    <row r="8" spans="1:4" x14ac:dyDescent="0.2">
      <c r="B8" s="36"/>
      <c r="C8" s="36"/>
      <c r="D8" s="36"/>
    </row>
    <row r="9" spans="1:4" x14ac:dyDescent="0.2">
      <c r="A9" t="s">
        <v>73</v>
      </c>
      <c r="B9" s="37">
        <f>'Eligible Replmnts'!I282</f>
        <v>55722.409999999982</v>
      </c>
      <c r="C9" s="37"/>
      <c r="D9" s="64">
        <f>Retrmnts!I101</f>
        <v>-3803.9800000000009</v>
      </c>
    </row>
    <row r="11" spans="1:4" x14ac:dyDescent="0.2">
      <c r="A11" t="s">
        <v>74</v>
      </c>
      <c r="B11" s="37">
        <f>'Eligible Replmnts'!I426</f>
        <v>43299.69999999999</v>
      </c>
      <c r="C11" s="37"/>
      <c r="D11" s="64">
        <f>Retrmnts!I144</f>
        <v>-21421.54</v>
      </c>
    </row>
    <row r="13" spans="1:4" x14ac:dyDescent="0.2">
      <c r="A13" t="s">
        <v>75</v>
      </c>
      <c r="B13" s="37">
        <f>'Eligible Replmnts'!I658</f>
        <v>158995.35999999993</v>
      </c>
      <c r="C13" s="37"/>
      <c r="D13" s="64">
        <f>Retrmnts!I166</f>
        <v>-2379.65</v>
      </c>
    </row>
    <row r="15" spans="1:4" x14ac:dyDescent="0.2">
      <c r="A15" t="s">
        <v>76</v>
      </c>
      <c r="B15" s="38">
        <f>'Eligible Replmnts'!I671</f>
        <v>87.52</v>
      </c>
      <c r="C15" s="38"/>
      <c r="D15" s="62">
        <v>0</v>
      </c>
    </row>
    <row r="18" spans="1:4" x14ac:dyDescent="0.2">
      <c r="A18" t="s">
        <v>77</v>
      </c>
      <c r="B18" s="64">
        <f>SUM(B9:B15)</f>
        <v>258104.9899999999</v>
      </c>
      <c r="C18" s="64"/>
      <c r="D18" s="64">
        <f>SUM(D9:D15)</f>
        <v>-27605.170000000002</v>
      </c>
    </row>
    <row r="20" spans="1:4" ht="13.5" thickBot="1" x14ac:dyDescent="0.25">
      <c r="A20" t="s">
        <v>362</v>
      </c>
      <c r="B20" s="58">
        <f>B18+D18</f>
        <v>230499.81999999989</v>
      </c>
      <c r="C20" s="14"/>
    </row>
    <row r="21" spans="1:4" ht="13.5" thickTop="1" x14ac:dyDescent="0.2"/>
  </sheetData>
  <mergeCells count="3">
    <mergeCell ref="A1:D1"/>
    <mergeCell ref="A3:D3"/>
    <mergeCell ref="A2:D2"/>
  </mergeCells>
  <phoneticPr fontId="3" type="noConversion"/>
  <pageMargins left="1" right="0.49" top="1" bottom="0.3" header="0.5" footer="0.57999999999999996"/>
  <pageSetup scale="95" orientation="portrait" r:id="rId1"/>
  <headerFooter alignWithMargins="0">
    <oddFooter>&amp;RAPPENDIX B
SCHEDULE 2
Depreciation Expense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RowHeight="12.75" x14ac:dyDescent="0.2"/>
  <cols>
    <col min="1" max="1" width="15.28515625" bestFit="1" customWidth="1"/>
    <col min="2" max="2" width="12.28515625" bestFit="1" customWidth="1"/>
    <col min="3" max="3" width="11.5703125" customWidth="1"/>
    <col min="4" max="5" width="11.28515625" bestFit="1" customWidth="1"/>
    <col min="6" max="7" width="12.28515625" bestFit="1" customWidth="1"/>
    <col min="8" max="8" width="11.28515625" bestFit="1" customWidth="1"/>
    <col min="9" max="9" width="8.42578125" bestFit="1" customWidth="1"/>
    <col min="10" max="10" width="11.28515625" bestFit="1" customWidth="1"/>
  </cols>
  <sheetData>
    <row r="1" spans="1:10" ht="15" x14ac:dyDescent="0.25">
      <c r="A1" s="218" t="s">
        <v>607</v>
      </c>
      <c r="I1" s="219"/>
    </row>
    <row r="2" spans="1:10" ht="25.5" x14ac:dyDescent="0.2">
      <c r="A2" s="220"/>
      <c r="B2" t="s">
        <v>608</v>
      </c>
      <c r="C2" s="221" t="s">
        <v>609</v>
      </c>
      <c r="D2" s="221" t="s">
        <v>610</v>
      </c>
      <c r="E2" s="221" t="s">
        <v>611</v>
      </c>
      <c r="F2" s="221" t="s">
        <v>612</v>
      </c>
      <c r="G2" s="221" t="s">
        <v>613</v>
      </c>
      <c r="H2" s="221" t="s">
        <v>614</v>
      </c>
      <c r="I2" s="222" t="s">
        <v>129</v>
      </c>
      <c r="J2" s="221" t="s">
        <v>615</v>
      </c>
    </row>
    <row r="3" spans="1:10" x14ac:dyDescent="0.2">
      <c r="A3" s="220" t="s">
        <v>616</v>
      </c>
      <c r="B3" s="223">
        <v>199340.50114816669</v>
      </c>
      <c r="C3" s="223">
        <f>-B3*$B$49</f>
        <v>-7475.2687930562515</v>
      </c>
      <c r="D3" s="223">
        <f>-B3*$C$49/12*5</f>
        <v>-5995.788511097202</v>
      </c>
      <c r="E3" s="223">
        <f>C3+D3</f>
        <v>-13471.057304153454</v>
      </c>
      <c r="F3" s="223">
        <f>B3+E3</f>
        <v>185869.44384401324</v>
      </c>
      <c r="G3" s="224">
        <v>196673.00148166667</v>
      </c>
      <c r="H3" s="223">
        <f>F3-G3</f>
        <v>-10803.55763765343</v>
      </c>
      <c r="I3" s="219">
        <f>$B$46</f>
        <v>0.390625</v>
      </c>
      <c r="J3" s="223">
        <f>H3*I3</f>
        <v>-4220.1397022083711</v>
      </c>
    </row>
    <row r="4" spans="1:10" x14ac:dyDescent="0.2">
      <c r="A4" s="220" t="s">
        <v>617</v>
      </c>
      <c r="B4" s="223">
        <v>152774.3575008334</v>
      </c>
      <c r="C4" s="223">
        <f>-B4*$B$49</f>
        <v>-5729.0384062812536</v>
      </c>
      <c r="D4" s="223">
        <f>-B4*$C$49/12*5</f>
        <v>-4595.1662217047551</v>
      </c>
      <c r="E4" s="223">
        <f t="shared" ref="E4:E6" si="0">C4+D4</f>
        <v>-10324.204627986008</v>
      </c>
      <c r="F4" s="223">
        <f>B4+E4</f>
        <v>142450.15287284739</v>
      </c>
      <c r="G4" s="224">
        <v>147823.214335</v>
      </c>
      <c r="H4" s="223">
        <f>F4-G4</f>
        <v>-5373.0614621526038</v>
      </c>
      <c r="I4" s="219">
        <f>I3</f>
        <v>0.390625</v>
      </c>
      <c r="J4" s="223">
        <f>H4*I4</f>
        <v>-2098.8521336533609</v>
      </c>
    </row>
    <row r="5" spans="1:10" x14ac:dyDescent="0.2">
      <c r="A5" s="220" t="s">
        <v>618</v>
      </c>
      <c r="B5" s="223">
        <v>306647.24724750011</v>
      </c>
      <c r="C5" s="223">
        <f>-B5*$B$49</f>
        <v>-11499.271771781256</v>
      </c>
      <c r="D5" s="223">
        <f>-B5*$C$49/12*5</f>
        <v>-9223.374233616214</v>
      </c>
      <c r="E5" s="223">
        <f t="shared" si="0"/>
        <v>-20722.64600539747</v>
      </c>
      <c r="F5" s="223">
        <f t="shared" ref="F5:F6" si="1">B5+E5</f>
        <v>285924.60124210262</v>
      </c>
      <c r="G5" s="224">
        <v>299602.38983724994</v>
      </c>
      <c r="H5" s="223">
        <f t="shared" ref="H5:H6" si="2">F5-G5</f>
        <v>-13677.788595147314</v>
      </c>
      <c r="I5" s="219">
        <f t="shared" ref="I5:I6" si="3">I4</f>
        <v>0.390625</v>
      </c>
      <c r="J5" s="223">
        <f t="shared" ref="J5:J6" si="4">H5*I5</f>
        <v>-5342.8861699794197</v>
      </c>
    </row>
    <row r="6" spans="1:10" x14ac:dyDescent="0.2">
      <c r="A6" s="220" t="s">
        <v>619</v>
      </c>
      <c r="B6" s="223">
        <v>234539.64748199994</v>
      </c>
      <c r="C6" s="223">
        <f>-B6*$B$49</f>
        <v>-8795.236780575</v>
      </c>
      <c r="D6" s="223">
        <f>-B6*$C$49/12*5</f>
        <v>-7054.5128344195291</v>
      </c>
      <c r="E6" s="223">
        <f t="shared" si="0"/>
        <v>-15849.749614994529</v>
      </c>
      <c r="F6" s="223">
        <f t="shared" si="1"/>
        <v>218689.89786700541</v>
      </c>
      <c r="G6" s="224">
        <v>228639.717615</v>
      </c>
      <c r="H6" s="223">
        <f t="shared" si="2"/>
        <v>-9949.8197479945957</v>
      </c>
      <c r="I6" s="219">
        <f t="shared" si="3"/>
        <v>0.390625</v>
      </c>
      <c r="J6" s="223">
        <f t="shared" si="4"/>
        <v>-3886.6483390603889</v>
      </c>
    </row>
    <row r="7" spans="1:10" x14ac:dyDescent="0.2">
      <c r="A7" s="220" t="s">
        <v>620</v>
      </c>
      <c r="B7" s="225">
        <v>2449206.4200000004</v>
      </c>
      <c r="C7" s="225"/>
      <c r="D7" s="225">
        <f>D17+D27+D37</f>
        <v>-386024.50244270859</v>
      </c>
      <c r="E7" s="225">
        <f>C7+D7</f>
        <v>-386024.50244270859</v>
      </c>
      <c r="F7" s="225">
        <f>B7+E7</f>
        <v>2063181.9175572917</v>
      </c>
      <c r="G7" s="226">
        <v>2424186.5467013447</v>
      </c>
      <c r="H7" s="225">
        <f>F7-G7</f>
        <v>-361004.62914405297</v>
      </c>
      <c r="I7" s="227">
        <f>$B$46</f>
        <v>0.390625</v>
      </c>
      <c r="J7" s="225">
        <f>H7*I7</f>
        <v>-141017.43325939571</v>
      </c>
    </row>
    <row r="8" spans="1:10" x14ac:dyDescent="0.2">
      <c r="A8" s="220" t="s">
        <v>621</v>
      </c>
      <c r="B8" s="228">
        <v>-181057.58345083339</v>
      </c>
      <c r="C8" s="228">
        <f>'[9]MO ONly'!Y67</f>
        <v>6789.6593794062492</v>
      </c>
      <c r="D8" s="228">
        <f>'[9]MO ONly'!Z67</f>
        <v>5445.8726272320973</v>
      </c>
      <c r="E8" s="228">
        <f t="shared" ref="E8" si="5">C8+D8</f>
        <v>12235.532006638347</v>
      </c>
      <c r="F8" s="228">
        <f>B8+E8</f>
        <v>-168822.05144419504</v>
      </c>
      <c r="G8" s="229">
        <v>-174456.68000000008</v>
      </c>
      <c r="H8" s="228">
        <f>F8-G8</f>
        <v>5634.628555805044</v>
      </c>
      <c r="I8" s="230">
        <f>I7</f>
        <v>0.390625</v>
      </c>
      <c r="J8" s="228">
        <f>H8*I8</f>
        <v>2201.0267796113453</v>
      </c>
    </row>
    <row r="9" spans="1:10" ht="13.5" thickBot="1" x14ac:dyDescent="0.25">
      <c r="A9" s="220"/>
      <c r="B9" s="223">
        <f>SUM(B3:B8)</f>
        <v>3161450.5899276673</v>
      </c>
      <c r="C9" s="223"/>
      <c r="D9" s="223"/>
      <c r="E9" s="223"/>
      <c r="F9" s="223">
        <f>SUM(F3:F8)</f>
        <v>2727293.9619390653</v>
      </c>
      <c r="G9" s="223">
        <f>SUM(G3:G8)</f>
        <v>3122468.189970261</v>
      </c>
      <c r="H9" s="223"/>
      <c r="I9" s="219" t="s">
        <v>88</v>
      </c>
      <c r="J9" s="231">
        <f>SUM(J3:J8)</f>
        <v>-154364.93282468591</v>
      </c>
    </row>
    <row r="10" spans="1:10" x14ac:dyDescent="0.2">
      <c r="A10" s="220"/>
      <c r="B10" s="223"/>
      <c r="C10" s="223"/>
      <c r="D10" s="223"/>
      <c r="E10" s="223"/>
      <c r="F10" s="223"/>
      <c r="G10" s="223"/>
      <c r="H10" s="223"/>
      <c r="I10" s="219"/>
      <c r="J10" s="225"/>
    </row>
    <row r="11" spans="1:10" ht="15" x14ac:dyDescent="0.25">
      <c r="A11" s="232" t="s">
        <v>622</v>
      </c>
      <c r="B11" s="223"/>
      <c r="C11" s="223"/>
      <c r="D11" s="223"/>
      <c r="E11" s="223"/>
      <c r="F11" s="223"/>
      <c r="G11" s="223"/>
      <c r="H11" s="223"/>
      <c r="I11" s="219"/>
      <c r="J11" s="223"/>
    </row>
    <row r="12" spans="1:10" ht="25.5" x14ac:dyDescent="0.2">
      <c r="A12" s="220"/>
      <c r="B12" t="s">
        <v>608</v>
      </c>
      <c r="C12" s="221" t="s">
        <v>609</v>
      </c>
      <c r="D12" s="221" t="s">
        <v>610</v>
      </c>
      <c r="E12" s="221" t="s">
        <v>611</v>
      </c>
      <c r="F12" s="221" t="s">
        <v>612</v>
      </c>
      <c r="G12" s="221" t="s">
        <v>613</v>
      </c>
      <c r="H12" s="221" t="s">
        <v>614</v>
      </c>
      <c r="I12" s="222" t="s">
        <v>129</v>
      </c>
      <c r="J12" s="221" t="s">
        <v>615</v>
      </c>
    </row>
    <row r="13" spans="1:10" x14ac:dyDescent="0.2">
      <c r="A13" s="220" t="s">
        <v>616</v>
      </c>
      <c r="B13" s="223">
        <v>-32671.372253833331</v>
      </c>
      <c r="C13" s="223">
        <f>-B13*$B$49</f>
        <v>1225.1764595187501</v>
      </c>
      <c r="D13" s="223">
        <f>-B13*$C$49/12*5</f>
        <v>982.69361857233082</v>
      </c>
      <c r="E13" s="223">
        <f>C13+D13</f>
        <v>2207.8700780910808</v>
      </c>
      <c r="F13" s="223">
        <f>B13+E13</f>
        <v>-30463.502175742251</v>
      </c>
      <c r="G13" s="259">
        <v>-30888.762538333347</v>
      </c>
      <c r="H13" s="223">
        <f>F13-G13</f>
        <v>425.26036259109605</v>
      </c>
      <c r="I13" s="219">
        <f>$B$46</f>
        <v>0.390625</v>
      </c>
      <c r="J13" s="223">
        <f>H13*I13</f>
        <v>166.1173291371469</v>
      </c>
    </row>
    <row r="14" spans="1:10" x14ac:dyDescent="0.2">
      <c r="A14" s="220" t="s">
        <v>617</v>
      </c>
      <c r="B14" s="223">
        <v>50897.49350083332</v>
      </c>
      <c r="C14" s="223">
        <f>-B14*$B$49</f>
        <v>-1908.6560062812498</v>
      </c>
      <c r="D14" s="223">
        <f>-B14*$C$49/12*5</f>
        <v>-1530.9011717047522</v>
      </c>
      <c r="E14" s="223">
        <f t="shared" ref="E14:E16" si="6">C14+D14</f>
        <v>-3439.557177986002</v>
      </c>
      <c r="F14" s="223">
        <f>B14+E14</f>
        <v>47457.936322847316</v>
      </c>
      <c r="G14" s="259">
        <v>48859.133070833333</v>
      </c>
      <c r="H14" s="223">
        <f>F14-G14</f>
        <v>-1401.1967479860177</v>
      </c>
      <c r="I14" s="219">
        <f>I13</f>
        <v>0.390625</v>
      </c>
      <c r="J14" s="223">
        <f>H14*I14</f>
        <v>-547.34247968203817</v>
      </c>
    </row>
    <row r="15" spans="1:10" x14ac:dyDescent="0.2">
      <c r="A15" s="220" t="s">
        <v>618</v>
      </c>
      <c r="B15" s="223">
        <v>40202.928864500005</v>
      </c>
      <c r="C15" s="223">
        <f>-B15*$B$49</f>
        <v>-1507.6098324187503</v>
      </c>
      <c r="D15" s="223">
        <f>-B15*$C$49/12*5</f>
        <v>-1209.2287197525393</v>
      </c>
      <c r="E15" s="223">
        <f t="shared" si="6"/>
        <v>-2716.8385521712898</v>
      </c>
      <c r="F15" s="223">
        <f t="shared" ref="F15:F16" si="7">B15+E15</f>
        <v>37486.090312328713</v>
      </c>
      <c r="G15" s="259">
        <v>40325.509439750022</v>
      </c>
      <c r="H15" s="223">
        <f t="shared" ref="H15:H16" si="8">F15-G15</f>
        <v>-2839.4191274213081</v>
      </c>
      <c r="I15" s="219">
        <f t="shared" ref="I15:I16" si="9">I14</f>
        <v>0.390625</v>
      </c>
      <c r="J15" s="223">
        <f t="shared" ref="J15:J16" si="10">H15*I15</f>
        <v>-1109.1480966489485</v>
      </c>
    </row>
    <row r="16" spans="1:10" x14ac:dyDescent="0.2">
      <c r="A16" s="220" t="s">
        <v>619</v>
      </c>
      <c r="B16" s="223">
        <v>65199.27616875001</v>
      </c>
      <c r="C16" s="223">
        <f>-B16*$B$49</f>
        <v>-2444.9728563281255</v>
      </c>
      <c r="D16" s="223">
        <f>-B16*$C$49/12*5</f>
        <v>-1961.0719785131837</v>
      </c>
      <c r="E16" s="223">
        <f t="shared" si="6"/>
        <v>-4406.0448348413092</v>
      </c>
      <c r="F16" s="223">
        <f t="shared" si="7"/>
        <v>60793.231333908698</v>
      </c>
      <c r="G16" s="259">
        <v>63462.598822749991</v>
      </c>
      <c r="H16" s="223">
        <f t="shared" si="8"/>
        <v>-2669.3674888412934</v>
      </c>
      <c r="I16" s="219">
        <f t="shared" si="9"/>
        <v>0.390625</v>
      </c>
      <c r="J16" s="223">
        <f t="shared" si="10"/>
        <v>-1042.7216753286302</v>
      </c>
    </row>
    <row r="17" spans="1:10" x14ac:dyDescent="0.2">
      <c r="A17" s="220" t="s">
        <v>620</v>
      </c>
      <c r="B17" s="223">
        <v>1594614.4800000009</v>
      </c>
      <c r="C17" s="223"/>
      <c r="D17" s="223">
        <v>-301329.12974479195</v>
      </c>
      <c r="E17" s="223">
        <f>C17+D17</f>
        <v>-301329.12974479195</v>
      </c>
      <c r="F17" s="223">
        <f>B17+E17</f>
        <v>1293285.350255209</v>
      </c>
      <c r="G17" s="259">
        <v>1574239.0110423346</v>
      </c>
      <c r="H17" s="223">
        <f>F17-G17</f>
        <v>-280953.66078712558</v>
      </c>
      <c r="I17" s="219">
        <f>$B$46</f>
        <v>0.390625</v>
      </c>
      <c r="J17" s="223">
        <f>H17*I17</f>
        <v>-109747.52374497094</v>
      </c>
    </row>
    <row r="18" spans="1:10" x14ac:dyDescent="0.2">
      <c r="A18" s="220" t="s">
        <v>621</v>
      </c>
      <c r="B18" s="228">
        <v>-88849.94</v>
      </c>
      <c r="C18" s="228">
        <v>3331.87</v>
      </c>
      <c r="D18" s="228">
        <v>2672.44</v>
      </c>
      <c r="E18" s="228">
        <f t="shared" ref="E18" si="11">C18+D18</f>
        <v>6004.3099999999995</v>
      </c>
      <c r="F18" s="228">
        <f>B18+E18</f>
        <v>-82845.63</v>
      </c>
      <c r="G18" s="260">
        <v>-85459.520000000004</v>
      </c>
      <c r="H18" s="228">
        <f>F18-G18</f>
        <v>2613.8899999999994</v>
      </c>
      <c r="I18" s="230">
        <f>I17</f>
        <v>0.390625</v>
      </c>
      <c r="J18" s="228">
        <f>H18*I18</f>
        <v>1021.0507812499998</v>
      </c>
    </row>
    <row r="19" spans="1:10" ht="13.5" thickBot="1" x14ac:dyDescent="0.25">
      <c r="A19" s="220"/>
      <c r="B19" s="223">
        <f>SUM(B13:B18)</f>
        <v>1629392.8662802509</v>
      </c>
      <c r="C19" s="223"/>
      <c r="D19" s="223"/>
      <c r="E19" s="223"/>
      <c r="F19" s="223">
        <f>SUM(F13:F18)</f>
        <v>1325713.4760485515</v>
      </c>
      <c r="G19" s="259">
        <f>SUM(G13:G18)</f>
        <v>1610537.9698373345</v>
      </c>
      <c r="H19" s="223"/>
      <c r="I19" s="219" t="s">
        <v>88</v>
      </c>
      <c r="J19" s="231">
        <f>SUM(J13:J18)</f>
        <v>-111259.56788624341</v>
      </c>
    </row>
    <row r="20" spans="1:10" x14ac:dyDescent="0.2">
      <c r="A20" s="220"/>
      <c r="B20" s="223"/>
      <c r="C20" s="223"/>
      <c r="D20" s="223"/>
      <c r="E20" s="223"/>
      <c r="F20" s="223"/>
      <c r="G20" s="259"/>
      <c r="H20" s="223"/>
      <c r="I20" s="219"/>
      <c r="J20" s="225"/>
    </row>
    <row r="21" spans="1:10" ht="15" x14ac:dyDescent="0.25">
      <c r="A21" s="232" t="s">
        <v>116</v>
      </c>
      <c r="B21" s="223"/>
      <c r="C21" s="223"/>
      <c r="D21" s="223"/>
      <c r="E21" s="223"/>
      <c r="F21" s="223"/>
      <c r="G21" s="259"/>
      <c r="H21" s="223"/>
      <c r="I21" s="219"/>
      <c r="J21" s="223"/>
    </row>
    <row r="22" spans="1:10" ht="25.5" x14ac:dyDescent="0.2">
      <c r="A22" s="220"/>
      <c r="B22" t="s">
        <v>608</v>
      </c>
      <c r="C22" s="221" t="s">
        <v>609</v>
      </c>
      <c r="D22" s="221" t="s">
        <v>610</v>
      </c>
      <c r="E22" s="221" t="s">
        <v>611</v>
      </c>
      <c r="F22" s="221" t="s">
        <v>612</v>
      </c>
      <c r="G22" s="261" t="s">
        <v>613</v>
      </c>
      <c r="H22" s="221" t="s">
        <v>614</v>
      </c>
      <c r="I22" s="222" t="s">
        <v>129</v>
      </c>
      <c r="J22" s="221" t="s">
        <v>615</v>
      </c>
    </row>
    <row r="23" spans="1:10" x14ac:dyDescent="0.2">
      <c r="A23" s="220" t="s">
        <v>616</v>
      </c>
      <c r="B23" s="223">
        <v>28688.155971666663</v>
      </c>
      <c r="C23" s="223">
        <f>-B23*$B$49</f>
        <v>-1075.8058489375001</v>
      </c>
      <c r="D23" s="223">
        <f>-B23*$C$49/12*5</f>
        <v>-862.88594133528636</v>
      </c>
      <c r="E23" s="223">
        <f>C23+D23</f>
        <v>-1938.6917902727864</v>
      </c>
      <c r="F23" s="223">
        <f>B23+E23</f>
        <v>26749.464181393876</v>
      </c>
      <c r="G23" s="259">
        <v>27945.799716666661</v>
      </c>
      <c r="H23" s="223">
        <f>F23-G23</f>
        <v>-1196.3355352727849</v>
      </c>
      <c r="I23" s="219">
        <f>$B$46</f>
        <v>0.390625</v>
      </c>
      <c r="J23" s="223">
        <f>H23*I23</f>
        <v>-467.31856846593161</v>
      </c>
    </row>
    <row r="24" spans="1:10" x14ac:dyDescent="0.2">
      <c r="A24" s="220" t="s">
        <v>617</v>
      </c>
      <c r="B24" s="223">
        <v>9350.1899999999987</v>
      </c>
      <c r="C24" s="223">
        <f>-B24*$B$49</f>
        <v>-350.63212500000003</v>
      </c>
      <c r="D24" s="223">
        <f>-B24*$C$49/12*5</f>
        <v>-281.23618359374996</v>
      </c>
      <c r="E24" s="223">
        <f t="shared" ref="E24:E26" si="12">C24+D24</f>
        <v>-631.86830859375004</v>
      </c>
      <c r="F24" s="223">
        <f>B24+E24</f>
        <v>8718.3216914062486</v>
      </c>
      <c r="G24" s="259">
        <v>9036.3410225000025</v>
      </c>
      <c r="H24" s="223">
        <f>F24-G24</f>
        <v>-318.01933109375386</v>
      </c>
      <c r="I24" s="219">
        <f>I23</f>
        <v>0.390625</v>
      </c>
      <c r="J24" s="223">
        <f>H24*I24</f>
        <v>-124.2263012084976</v>
      </c>
    </row>
    <row r="25" spans="1:10" x14ac:dyDescent="0.2">
      <c r="A25" s="220" t="s">
        <v>618</v>
      </c>
      <c r="B25" s="223">
        <v>25067.829999999998</v>
      </c>
      <c r="C25" s="223">
        <f>-B25*$B$49</f>
        <v>-940.04362500000002</v>
      </c>
      <c r="D25" s="223">
        <f>-B25*$C$49/12*5</f>
        <v>-753.99332421874999</v>
      </c>
      <c r="E25" s="223">
        <f t="shared" si="12"/>
        <v>-1694.0369492187501</v>
      </c>
      <c r="F25" s="223">
        <f t="shared" ref="F25:F26" si="13">B25+E25</f>
        <v>23373.793050781249</v>
      </c>
      <c r="G25" s="259">
        <v>24521.020771000003</v>
      </c>
      <c r="H25" s="223">
        <f t="shared" ref="H25:H26" si="14">F25-G25</f>
        <v>-1147.2277202187543</v>
      </c>
      <c r="I25" s="219">
        <f t="shared" ref="I25:I26" si="15">I24</f>
        <v>0.390625</v>
      </c>
      <c r="J25" s="223">
        <f t="shared" ref="J25:J26" si="16">H25*I25</f>
        <v>-448.13582821045088</v>
      </c>
    </row>
    <row r="26" spans="1:10" x14ac:dyDescent="0.2">
      <c r="A26" s="220" t="s">
        <v>619</v>
      </c>
      <c r="B26" s="223">
        <v>12634.43</v>
      </c>
      <c r="C26" s="223">
        <f>-B26*$B$49</f>
        <v>-473.79112500000008</v>
      </c>
      <c r="D26" s="223">
        <f>-B26*$C$49/12*5</f>
        <v>-380.01996484375007</v>
      </c>
      <c r="E26" s="223">
        <f t="shared" si="12"/>
        <v>-853.8110898437501</v>
      </c>
      <c r="F26" s="223">
        <f t="shared" si="13"/>
        <v>11780.61891015625</v>
      </c>
      <c r="G26" s="259">
        <v>12293.62708475</v>
      </c>
      <c r="H26" s="223">
        <f t="shared" si="14"/>
        <v>-513.00817459374957</v>
      </c>
      <c r="I26" s="219">
        <f t="shared" si="15"/>
        <v>0.390625</v>
      </c>
      <c r="J26" s="223">
        <f t="shared" si="16"/>
        <v>-200.39381820068343</v>
      </c>
    </row>
    <row r="27" spans="1:10" x14ac:dyDescent="0.2">
      <c r="A27" s="220" t="s">
        <v>620</v>
      </c>
      <c r="B27" s="223">
        <v>132102.98000000004</v>
      </c>
      <c r="C27" s="223"/>
      <c r="D27" s="223">
        <v>-11622.605854166672</v>
      </c>
      <c r="E27" s="223">
        <f>C27+D27</f>
        <v>-11622.605854166672</v>
      </c>
      <c r="F27" s="223">
        <f>B27+E27</f>
        <v>120480.37414583337</v>
      </c>
      <c r="G27" s="259">
        <v>131471.01888901059</v>
      </c>
      <c r="H27" s="223">
        <f>F27-G27</f>
        <v>-10990.644743177225</v>
      </c>
      <c r="I27" s="219">
        <f>$B$46</f>
        <v>0.390625</v>
      </c>
      <c r="J27" s="223">
        <f>H27*I27</f>
        <v>-4293.2206028036035</v>
      </c>
    </row>
    <row r="28" spans="1:10" x14ac:dyDescent="0.2">
      <c r="A28" s="220" t="s">
        <v>621</v>
      </c>
      <c r="B28" s="228">
        <v>-4961.7299999999996</v>
      </c>
      <c r="C28" s="228">
        <v>186.06</v>
      </c>
      <c r="D28" s="228">
        <v>149.24</v>
      </c>
      <c r="E28" s="228">
        <v>335.3</v>
      </c>
      <c r="F28" s="228">
        <v>-4626.42</v>
      </c>
      <c r="G28" s="260">
        <v>-4823.1099999999997</v>
      </c>
      <c r="H28" s="228">
        <f>F28-G28</f>
        <v>196.6899999999996</v>
      </c>
      <c r="I28" s="230">
        <f>I27</f>
        <v>0.390625</v>
      </c>
      <c r="J28" s="228">
        <f>H28*I28</f>
        <v>76.832031249999844</v>
      </c>
    </row>
    <row r="29" spans="1:10" ht="13.5" thickBot="1" x14ac:dyDescent="0.25">
      <c r="A29" s="220"/>
      <c r="B29" s="223">
        <f>SUM(B23:B28)</f>
        <v>202881.85597166669</v>
      </c>
      <c r="C29" s="223"/>
      <c r="D29" s="223"/>
      <c r="E29" s="223"/>
      <c r="F29" s="223">
        <f>SUM(F23:F28)</f>
        <v>186476.15197957098</v>
      </c>
      <c r="G29" s="259">
        <f>SUM(G23:G28)</f>
        <v>200444.69748392727</v>
      </c>
      <c r="H29" s="223"/>
      <c r="I29" s="219" t="s">
        <v>88</v>
      </c>
      <c r="J29" s="231">
        <f>SUM(J23:J28)</f>
        <v>-5456.4630876391675</v>
      </c>
    </row>
    <row r="30" spans="1:10" x14ac:dyDescent="0.2">
      <c r="A30" s="220"/>
      <c r="B30" s="223"/>
      <c r="C30" s="223"/>
      <c r="D30" s="223"/>
      <c r="E30" s="223"/>
      <c r="F30" s="223"/>
      <c r="G30" s="259"/>
      <c r="H30" s="223"/>
      <c r="I30" s="219"/>
      <c r="J30" s="225"/>
    </row>
    <row r="31" spans="1:10" ht="15" x14ac:dyDescent="0.25">
      <c r="A31" s="232" t="s">
        <v>117</v>
      </c>
      <c r="B31" s="223"/>
      <c r="C31" s="223"/>
      <c r="D31" s="223"/>
      <c r="E31" s="223"/>
      <c r="F31" s="223"/>
      <c r="G31" s="259"/>
      <c r="H31" s="223"/>
      <c r="I31" s="219"/>
      <c r="J31" s="223"/>
    </row>
    <row r="32" spans="1:10" ht="25.5" x14ac:dyDescent="0.2">
      <c r="A32" s="220"/>
      <c r="B32" t="s">
        <v>608</v>
      </c>
      <c r="C32" s="221" t="s">
        <v>609</v>
      </c>
      <c r="D32" s="221" t="s">
        <v>610</v>
      </c>
      <c r="E32" s="221" t="s">
        <v>611</v>
      </c>
      <c r="F32" s="221" t="s">
        <v>612</v>
      </c>
      <c r="G32" s="261" t="s">
        <v>613</v>
      </c>
      <c r="H32" s="221" t="s">
        <v>614</v>
      </c>
      <c r="I32" s="222" t="s">
        <v>129</v>
      </c>
      <c r="J32" s="221" t="s">
        <v>615</v>
      </c>
    </row>
    <row r="33" spans="1:10" x14ac:dyDescent="0.2">
      <c r="A33" s="220" t="s">
        <v>616</v>
      </c>
      <c r="B33" s="223">
        <v>203323.71743033329</v>
      </c>
      <c r="C33" s="223">
        <f>-B33*$B$49</f>
        <v>-7624.6394036374995</v>
      </c>
      <c r="D33" s="223">
        <f>-B33*$C$49/12*5</f>
        <v>-6115.5961883342434</v>
      </c>
      <c r="E33" s="223">
        <f>C33+D33</f>
        <v>-13740.235591971743</v>
      </c>
      <c r="F33" s="223">
        <f>B33+E33</f>
        <v>189583.48183836153</v>
      </c>
      <c r="G33" s="259">
        <v>199615.96430333357</v>
      </c>
      <c r="H33" s="223">
        <f>F33-G33</f>
        <v>-10032.482464972039</v>
      </c>
      <c r="I33" s="219">
        <f>$B$46</f>
        <v>0.390625</v>
      </c>
      <c r="J33" s="223">
        <f>H33*I33</f>
        <v>-3918.9384628797029</v>
      </c>
    </row>
    <row r="34" spans="1:10" x14ac:dyDescent="0.2">
      <c r="A34" s="220" t="s">
        <v>617</v>
      </c>
      <c r="B34" s="223">
        <v>92526.673999999985</v>
      </c>
      <c r="C34" s="223">
        <f>-B34*$B$49</f>
        <v>-3469.7502749999999</v>
      </c>
      <c r="D34" s="223">
        <f>-B34*$C$49/12*5</f>
        <v>-2783.02886640625</v>
      </c>
      <c r="E34" s="223">
        <f t="shared" ref="E34:E36" si="17">C34+D34</f>
        <v>-6252.7791414062503</v>
      </c>
      <c r="F34" s="223">
        <f>B34+E34</f>
        <v>86273.894858593732</v>
      </c>
      <c r="G34" s="259">
        <v>89927.740241666659</v>
      </c>
      <c r="H34" s="223">
        <f>F34-G34</f>
        <v>-3653.8453830729268</v>
      </c>
      <c r="I34" s="219">
        <f>I33</f>
        <v>0.390625</v>
      </c>
      <c r="J34" s="223">
        <f>H34*I34</f>
        <v>-1427.283352762862</v>
      </c>
    </row>
    <row r="35" spans="1:10" x14ac:dyDescent="0.2">
      <c r="A35" s="220" t="s">
        <v>618</v>
      </c>
      <c r="B35" s="223">
        <v>241376.48838300002</v>
      </c>
      <c r="C35" s="223">
        <f>-B35*$B$49</f>
        <v>-9051.6183143625021</v>
      </c>
      <c r="D35" s="223">
        <f>-B35*$C$49/12*5</f>
        <v>-7260.1521896449231</v>
      </c>
      <c r="E35" s="223">
        <f t="shared" si="17"/>
        <v>-16311.770504007425</v>
      </c>
      <c r="F35" s="223">
        <f t="shared" ref="F35:F36" si="18">B35+E35</f>
        <v>225064.71787899258</v>
      </c>
      <c r="G35" s="259">
        <v>234755.85962650008</v>
      </c>
      <c r="H35" s="223">
        <f t="shared" ref="H35:H36" si="19">F35-G35</f>
        <v>-9691.1417475074995</v>
      </c>
      <c r="I35" s="219">
        <f t="shared" ref="I35:I36" si="20">I34</f>
        <v>0.390625</v>
      </c>
      <c r="J35" s="223">
        <f t="shared" ref="J35:J36" si="21">H35*I35</f>
        <v>-3785.602245120117</v>
      </c>
    </row>
    <row r="36" spans="1:10" x14ac:dyDescent="0.2">
      <c r="A36" s="220" t="s">
        <v>619</v>
      </c>
      <c r="B36" s="223">
        <v>156705.94131325002</v>
      </c>
      <c r="C36" s="223">
        <f>-B36*$B$49</f>
        <v>-5876.472799246877</v>
      </c>
      <c r="D36" s="223">
        <f>-B36*$C$49/12*5</f>
        <v>-4713.4208910625985</v>
      </c>
      <c r="E36" s="223">
        <f t="shared" si="17"/>
        <v>-10589.893690309476</v>
      </c>
      <c r="F36" s="223">
        <f t="shared" si="18"/>
        <v>146116.04762294053</v>
      </c>
      <c r="G36" s="259">
        <v>152883.49170749995</v>
      </c>
      <c r="H36" s="223">
        <f t="shared" si="19"/>
        <v>-6767.4440845594218</v>
      </c>
      <c r="I36" s="219">
        <f t="shared" si="20"/>
        <v>0.390625</v>
      </c>
      <c r="J36" s="223">
        <f t="shared" si="21"/>
        <v>-2643.5328455310241</v>
      </c>
    </row>
    <row r="37" spans="1:10" x14ac:dyDescent="0.2">
      <c r="A37" s="220" t="s">
        <v>620</v>
      </c>
      <c r="B37" s="223">
        <v>722488.95999999973</v>
      </c>
      <c r="C37" s="223"/>
      <c r="D37" s="223">
        <v>-73072.766843749996</v>
      </c>
      <c r="E37" s="223">
        <f>C37+D37</f>
        <v>-73072.766843749996</v>
      </c>
      <c r="F37" s="223">
        <f>B37+E37</f>
        <v>649416.1931562497</v>
      </c>
      <c r="G37" s="259">
        <v>718476.51676999975</v>
      </c>
      <c r="H37" s="223">
        <f>F37-G37</f>
        <v>-69060.32361375005</v>
      </c>
      <c r="I37" s="219">
        <f>$B$46</f>
        <v>0.390625</v>
      </c>
      <c r="J37" s="223">
        <f>H37*I37</f>
        <v>-26976.688911621113</v>
      </c>
    </row>
    <row r="38" spans="1:10" x14ac:dyDescent="0.2">
      <c r="A38" s="220" t="s">
        <v>621</v>
      </c>
      <c r="B38" s="228">
        <v>-87245.91</v>
      </c>
      <c r="C38" s="228">
        <v>3271.72</v>
      </c>
      <c r="D38" s="228">
        <v>2624.19</v>
      </c>
      <c r="E38" s="228">
        <v>5895.92</v>
      </c>
      <c r="F38" s="228">
        <v>-81350</v>
      </c>
      <c r="G38" s="260">
        <v>-84174.05</v>
      </c>
      <c r="H38" s="228">
        <f>F38-G38</f>
        <v>2824.0500000000029</v>
      </c>
      <c r="I38" s="230">
        <f>I37</f>
        <v>0.390625</v>
      </c>
      <c r="J38" s="228">
        <f>H38*I38</f>
        <v>1103.1445312500011</v>
      </c>
    </row>
    <row r="39" spans="1:10" ht="13.5" thickBot="1" x14ac:dyDescent="0.25">
      <c r="A39" s="220"/>
      <c r="B39" s="223">
        <f>SUM(B33:B38)</f>
        <v>1329175.8711265831</v>
      </c>
      <c r="C39" s="223"/>
      <c r="D39" s="223"/>
      <c r="E39" s="223"/>
      <c r="F39" s="223">
        <f>SUM(F33:F38)</f>
        <v>1215104.3353551379</v>
      </c>
      <c r="G39" s="223">
        <f>SUM(G33:G38)</f>
        <v>1311485.5226489999</v>
      </c>
      <c r="H39" s="223"/>
      <c r="I39" s="219" t="s">
        <v>88</v>
      </c>
      <c r="J39" s="231">
        <f>SUM(J33:J38)</f>
        <v>-37648.901286664819</v>
      </c>
    </row>
    <row r="40" spans="1:10" x14ac:dyDescent="0.2">
      <c r="A40" s="220"/>
      <c r="B40" s="223"/>
      <c r="C40" s="223"/>
      <c r="D40" s="223"/>
      <c r="E40" s="223"/>
      <c r="F40" s="223"/>
      <c r="G40" s="223"/>
      <c r="H40" s="223"/>
      <c r="I40" s="219"/>
      <c r="J40" s="225"/>
    </row>
    <row r="41" spans="1:10" x14ac:dyDescent="0.2">
      <c r="A41" s="220"/>
      <c r="B41" s="223"/>
      <c r="C41" s="223"/>
      <c r="D41" s="223"/>
      <c r="E41" s="223"/>
      <c r="F41" s="223"/>
      <c r="G41" s="223"/>
      <c r="H41" s="223"/>
      <c r="I41" s="219"/>
      <c r="J41" s="225"/>
    </row>
    <row r="42" spans="1:10" x14ac:dyDescent="0.2">
      <c r="A42" s="220"/>
      <c r="B42" s="223"/>
      <c r="C42" s="223"/>
      <c r="D42" s="223"/>
      <c r="E42" s="223"/>
      <c r="F42" s="223"/>
      <c r="G42" s="223"/>
      <c r="H42" s="223"/>
      <c r="I42" s="219"/>
      <c r="J42" s="225">
        <f>J39+J29+J19</f>
        <v>-154364.93226054742</v>
      </c>
    </row>
    <row r="43" spans="1:10" x14ac:dyDescent="0.2">
      <c r="A43" s="220"/>
      <c r="B43" s="223"/>
      <c r="C43" s="223"/>
      <c r="D43" s="223"/>
      <c r="E43" s="223"/>
      <c r="F43" s="223"/>
      <c r="G43" s="223"/>
      <c r="H43" s="223"/>
      <c r="I43" s="219"/>
      <c r="J43" s="225"/>
    </row>
    <row r="44" spans="1:10" x14ac:dyDescent="0.2">
      <c r="A44" s="220" t="s">
        <v>623</v>
      </c>
      <c r="B44" s="219">
        <v>0.35</v>
      </c>
      <c r="I44" s="219"/>
    </row>
    <row r="45" spans="1:10" x14ac:dyDescent="0.2">
      <c r="A45" s="220" t="s">
        <v>624</v>
      </c>
      <c r="B45" s="219">
        <f>0.0625*(1-35%)</f>
        <v>4.0625000000000001E-2</v>
      </c>
      <c r="I45" s="219"/>
    </row>
    <row r="46" spans="1:10" ht="13.5" thickBot="1" x14ac:dyDescent="0.25">
      <c r="A46" s="220"/>
      <c r="B46" s="233">
        <f>SUM(B44:B45)</f>
        <v>0.390625</v>
      </c>
      <c r="I46" s="219"/>
    </row>
    <row r="47" spans="1:10" x14ac:dyDescent="0.2">
      <c r="A47" s="220"/>
      <c r="B47" s="219"/>
      <c r="I47" s="219"/>
    </row>
    <row r="48" spans="1:10" x14ac:dyDescent="0.2">
      <c r="A48" s="220"/>
      <c r="B48" s="35" t="s">
        <v>625</v>
      </c>
      <c r="C48" s="35" t="s">
        <v>626</v>
      </c>
      <c r="I48" s="219"/>
    </row>
    <row r="49" spans="1:9" x14ac:dyDescent="0.2">
      <c r="A49" s="220" t="s">
        <v>627</v>
      </c>
      <c r="B49">
        <f>1/20*1.5/2</f>
        <v>3.7500000000000006E-2</v>
      </c>
      <c r="C49">
        <f>(1-B49)/20*1.5</f>
        <v>7.2187500000000002E-2</v>
      </c>
      <c r="I49" s="219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indexed="12"/>
  </sheetPr>
  <dimension ref="A1:T59"/>
  <sheetViews>
    <sheetView showGridLines="0" zoomScale="85" zoomScaleNormal="85" zoomScaleSheetLayoutView="85" workbookViewId="0">
      <selection sqref="A1:H1"/>
    </sheetView>
  </sheetViews>
  <sheetFormatPr defaultRowHeight="12.75" x14ac:dyDescent="0.2"/>
  <cols>
    <col min="1" max="1" width="28.7109375" customWidth="1"/>
    <col min="2" max="2" width="13.7109375" bestFit="1" customWidth="1"/>
    <col min="3" max="4" width="12.5703125" customWidth="1"/>
    <col min="5" max="5" width="12.5703125" style="40" customWidth="1"/>
    <col min="6" max="6" width="12.7109375" customWidth="1"/>
    <col min="7" max="7" width="9.28515625" customWidth="1"/>
    <col min="8" max="8" width="13.28515625" customWidth="1"/>
    <col min="10" max="10" width="11.28515625" customWidth="1"/>
    <col min="11" max="12" width="9.7109375" customWidth="1"/>
  </cols>
  <sheetData>
    <row r="1" spans="1:20" ht="15.75" x14ac:dyDescent="0.25">
      <c r="A1" s="270" t="s">
        <v>363</v>
      </c>
      <c r="B1" s="270"/>
      <c r="C1" s="270"/>
      <c r="D1" s="270"/>
      <c r="E1" s="270"/>
      <c r="F1" s="270"/>
      <c r="G1" s="270"/>
      <c r="H1" s="270"/>
    </row>
    <row r="2" spans="1:20" ht="15.75" x14ac:dyDescent="0.25">
      <c r="A2" s="270" t="s">
        <v>115</v>
      </c>
      <c r="B2" s="270"/>
      <c r="C2" s="270"/>
      <c r="D2" s="270"/>
      <c r="E2" s="270"/>
      <c r="F2" s="270"/>
      <c r="G2" s="270"/>
      <c r="H2" s="270"/>
    </row>
    <row r="3" spans="1:20" ht="15.75" x14ac:dyDescent="0.25">
      <c r="A3" s="270" t="s">
        <v>150</v>
      </c>
      <c r="B3" s="270"/>
      <c r="C3" s="270"/>
      <c r="D3" s="270"/>
      <c r="E3" s="270"/>
      <c r="F3" s="270"/>
      <c r="G3" s="270"/>
      <c r="H3" s="270"/>
    </row>
    <row r="5" spans="1:20" ht="13.5" x14ac:dyDescent="0.2">
      <c r="A5" s="16" t="s">
        <v>78</v>
      </c>
      <c r="B5" s="107">
        <f>SUM(B6:B8)</f>
        <v>650669.65678274073</v>
      </c>
    </row>
    <row r="6" spans="1:20" x14ac:dyDescent="0.2">
      <c r="A6" s="41" t="s">
        <v>111</v>
      </c>
      <c r="B6" s="42">
        <f>'Rev Req'!E58</f>
        <v>260730.76304839758</v>
      </c>
    </row>
    <row r="7" spans="1:20" x14ac:dyDescent="0.2">
      <c r="A7" s="41" t="s">
        <v>112</v>
      </c>
      <c r="B7" s="42">
        <f>'Rev Req'!D58</f>
        <v>369735.13394150406</v>
      </c>
    </row>
    <row r="8" spans="1:20" x14ac:dyDescent="0.2">
      <c r="A8" s="41" t="s">
        <v>113</v>
      </c>
      <c r="B8" s="42">
        <f>'Rev Req'!C58</f>
        <v>20203.75979283905</v>
      </c>
    </row>
    <row r="10" spans="1:20" ht="51.75" thickBot="1" x14ac:dyDescent="0.25">
      <c r="A10" s="48" t="s">
        <v>82</v>
      </c>
      <c r="B10" s="105" t="s">
        <v>119</v>
      </c>
      <c r="C10" s="105" t="s">
        <v>120</v>
      </c>
      <c r="D10" s="105" t="s">
        <v>121</v>
      </c>
      <c r="E10" s="106" t="s">
        <v>122</v>
      </c>
      <c r="F10" s="105" t="s">
        <v>123</v>
      </c>
      <c r="G10" s="105" t="s">
        <v>124</v>
      </c>
      <c r="H10" s="105" t="s">
        <v>125</v>
      </c>
      <c r="I10" s="19"/>
      <c r="J10" s="150"/>
    </row>
    <row r="11" spans="1:20" x14ac:dyDescent="0.2">
      <c r="A11" s="41" t="s">
        <v>79</v>
      </c>
      <c r="B11" s="40"/>
      <c r="C11" s="43"/>
      <c r="I11" s="19"/>
      <c r="J11" s="19"/>
    </row>
    <row r="12" spans="1:20" x14ac:dyDescent="0.2">
      <c r="A12" t="s">
        <v>83</v>
      </c>
      <c r="B12" s="191">
        <v>16312</v>
      </c>
      <c r="C12" s="173">
        <v>22.68</v>
      </c>
      <c r="D12" s="44">
        <f>C12/C12</f>
        <v>1</v>
      </c>
      <c r="E12" s="40">
        <f>B12*D12</f>
        <v>16312</v>
      </c>
      <c r="F12" s="45">
        <f>E12/E17</f>
        <v>0.80540298738032146</v>
      </c>
      <c r="G12" s="37">
        <f>H12/B12/12</f>
        <v>1.0727957713193259</v>
      </c>
      <c r="H12" s="46">
        <f>B6*F12</f>
        <v>209993.33546113013</v>
      </c>
      <c r="I12" s="14"/>
      <c r="J12" s="37"/>
      <c r="K12" s="37"/>
    </row>
    <row r="13" spans="1:20" x14ac:dyDescent="0.2">
      <c r="A13" t="s">
        <v>84</v>
      </c>
      <c r="B13" s="191">
        <v>2107</v>
      </c>
      <c r="C13" s="173">
        <v>22.68</v>
      </c>
      <c r="D13" s="44">
        <f>C13/C12</f>
        <v>1</v>
      </c>
      <c r="E13" s="40">
        <f>B13*D13</f>
        <v>2107</v>
      </c>
      <c r="F13" s="45">
        <f>E13/E17</f>
        <v>0.10403286503251209</v>
      </c>
      <c r="G13" s="37">
        <f>H13/B13/12</f>
        <v>1.0727957713193259</v>
      </c>
      <c r="H13" s="40">
        <f>B6*F13</f>
        <v>27124.568282037835</v>
      </c>
      <c r="I13" s="14"/>
      <c r="J13" s="37"/>
      <c r="K13" s="37"/>
    </row>
    <row r="14" spans="1:20" x14ac:dyDescent="0.2">
      <c r="A14" t="s">
        <v>85</v>
      </c>
      <c r="B14" s="191">
        <v>321</v>
      </c>
      <c r="C14" s="173">
        <v>100</v>
      </c>
      <c r="D14" s="44">
        <f>(C14-C12)/C12+1</f>
        <v>4.409171075837742</v>
      </c>
      <c r="E14" s="40">
        <f>B14*D14</f>
        <v>1415.3439153439151</v>
      </c>
      <c r="F14" s="45">
        <f>E14/E17</f>
        <v>6.9882431191058733E-2</v>
      </c>
      <c r="G14" s="37">
        <f>H14/B14/12</f>
        <v>4.730140085182212</v>
      </c>
      <c r="H14" s="40">
        <f>B6*F14</f>
        <v>18220.499608121881</v>
      </c>
      <c r="I14" s="14"/>
      <c r="J14" s="37"/>
      <c r="K14" s="37"/>
    </row>
    <row r="15" spans="1:20" x14ac:dyDescent="0.2">
      <c r="A15" t="s">
        <v>86</v>
      </c>
      <c r="B15" s="191">
        <v>11</v>
      </c>
      <c r="C15" s="173">
        <v>500</v>
      </c>
      <c r="D15" s="44">
        <f>(C15-C12)/C12+1</f>
        <v>22.045855379188712</v>
      </c>
      <c r="E15" s="40">
        <f>B15*D15</f>
        <v>242.50440917107582</v>
      </c>
      <c r="F15" s="45">
        <f>E15/E17</f>
        <v>1.1973625281957105E-2</v>
      </c>
      <c r="G15" s="37">
        <f>H15/B15/12</f>
        <v>23.650700425911065</v>
      </c>
      <c r="H15" s="40">
        <f>B6*F15</f>
        <v>3121.8924562202606</v>
      </c>
      <c r="I15" s="14"/>
      <c r="J15" s="37"/>
      <c r="K15" s="37"/>
      <c r="R15" s="37"/>
      <c r="S15" s="37"/>
      <c r="T15" s="37"/>
    </row>
    <row r="16" spans="1:20" x14ac:dyDescent="0.2">
      <c r="A16" t="s">
        <v>87</v>
      </c>
      <c r="B16" s="191">
        <v>8</v>
      </c>
      <c r="C16" s="173">
        <v>500</v>
      </c>
      <c r="D16" s="44">
        <f>(C16-C12)/C12+1</f>
        <v>22.045855379188712</v>
      </c>
      <c r="E16" s="40">
        <f>B16*D16</f>
        <v>176.3668430335097</v>
      </c>
      <c r="F16" s="45">
        <f>E16/E17</f>
        <v>8.7080911141506224E-3</v>
      </c>
      <c r="G16" s="37">
        <f>H16/B16/12</f>
        <v>23.650700425911069</v>
      </c>
      <c r="H16" s="40">
        <f>B6*F16</f>
        <v>2270.4672408874626</v>
      </c>
      <c r="I16" s="14"/>
      <c r="J16" s="37"/>
      <c r="K16" s="37"/>
    </row>
    <row r="17" spans="1:20" x14ac:dyDescent="0.2">
      <c r="A17" s="41" t="s">
        <v>108</v>
      </c>
      <c r="B17" s="93">
        <f>SUM(B12:B16)</f>
        <v>18759</v>
      </c>
      <c r="C17" s="98"/>
      <c r="D17" s="99"/>
      <c r="E17" s="93">
        <f>SUM(E12:E16)</f>
        <v>20253.2151675485</v>
      </c>
      <c r="F17" s="94">
        <f>SUM(F12:F16)</f>
        <v>1</v>
      </c>
      <c r="G17" s="100"/>
      <c r="H17" s="95">
        <f>SUM(H12:H16)</f>
        <v>260730.76304839755</v>
      </c>
      <c r="I17" s="14"/>
      <c r="K17" s="75"/>
      <c r="R17" s="37"/>
      <c r="S17" s="37"/>
      <c r="T17" s="37"/>
    </row>
    <row r="18" spans="1:20" x14ac:dyDescent="0.2">
      <c r="B18" s="40"/>
      <c r="C18" s="92"/>
      <c r="D18" s="44"/>
      <c r="I18" s="14"/>
      <c r="J18" s="75"/>
      <c r="K18" s="75"/>
    </row>
    <row r="19" spans="1:20" x14ac:dyDescent="0.2">
      <c r="A19" s="41" t="s">
        <v>80</v>
      </c>
      <c r="B19" s="40"/>
      <c r="C19" s="43"/>
      <c r="D19" s="44"/>
      <c r="I19" s="14"/>
      <c r="J19" s="75"/>
      <c r="K19" s="75"/>
      <c r="R19" s="37"/>
      <c r="S19" s="37"/>
      <c r="T19" s="37"/>
    </row>
    <row r="20" spans="1:20" x14ac:dyDescent="0.2">
      <c r="A20" t="s">
        <v>83</v>
      </c>
      <c r="B20" s="191">
        <v>28629</v>
      </c>
      <c r="C20" s="173">
        <v>13.75</v>
      </c>
      <c r="D20" s="44">
        <f>C20/C20</f>
        <v>1</v>
      </c>
      <c r="E20" s="40">
        <f>B20*D20</f>
        <v>28629</v>
      </c>
      <c r="F20" s="45">
        <f>E20/E25</f>
        <v>0.77056845876031355</v>
      </c>
      <c r="G20" s="37">
        <f>H20/B20/12</f>
        <v>0.82930546040391118</v>
      </c>
      <c r="H20" s="46">
        <f>B7*F20</f>
        <v>284906.2323108429</v>
      </c>
      <c r="I20" s="14"/>
      <c r="J20" s="37"/>
      <c r="K20" s="37"/>
    </row>
    <row r="21" spans="1:20" x14ac:dyDescent="0.2">
      <c r="A21" t="s">
        <v>84</v>
      </c>
      <c r="B21" s="191">
        <v>3375</v>
      </c>
      <c r="C21" s="173">
        <v>13.75</v>
      </c>
      <c r="D21" s="44">
        <f>C21/C20</f>
        <v>1</v>
      </c>
      <c r="E21" s="40">
        <f>B21*D21</f>
        <v>3375</v>
      </c>
      <c r="F21" s="45">
        <f>E21/E25</f>
        <v>9.0840355873975973E-2</v>
      </c>
      <c r="G21" s="37">
        <f>H21/B21/12</f>
        <v>0.82930546040391118</v>
      </c>
      <c r="H21" s="40">
        <f>B7*F21</f>
        <v>33586.871146358404</v>
      </c>
      <c r="I21" s="14"/>
      <c r="J21" s="37"/>
      <c r="K21" s="37"/>
      <c r="R21" s="37"/>
      <c r="S21" s="37"/>
      <c r="T21" s="37"/>
    </row>
    <row r="22" spans="1:20" x14ac:dyDescent="0.2">
      <c r="A22" t="s">
        <v>85</v>
      </c>
      <c r="B22" s="191">
        <v>543</v>
      </c>
      <c r="C22" s="173">
        <v>100</v>
      </c>
      <c r="D22" s="44">
        <f>(C22-C20)/C20+1</f>
        <v>7.2727272727272725</v>
      </c>
      <c r="E22" s="40">
        <f>B22*D22</f>
        <v>3949.090909090909</v>
      </c>
      <c r="F22" s="45">
        <f>E22/E25</f>
        <v>0.10629239216607451</v>
      </c>
      <c r="G22" s="37">
        <f>H22/B22/12</f>
        <v>6.0313124393011712</v>
      </c>
      <c r="H22" s="40">
        <f>B7*F22</f>
        <v>39300.031854486435</v>
      </c>
      <c r="I22" s="14"/>
      <c r="J22" s="37"/>
      <c r="K22" s="37"/>
    </row>
    <row r="23" spans="1:20" x14ac:dyDescent="0.2">
      <c r="A23" t="s">
        <v>86</v>
      </c>
      <c r="B23" s="191">
        <v>16</v>
      </c>
      <c r="C23" s="173">
        <v>500</v>
      </c>
      <c r="D23" s="44">
        <f>(C23-C20)/C20+1</f>
        <v>36.363636363636367</v>
      </c>
      <c r="E23" s="40">
        <f>B23*D23</f>
        <v>581.81818181818187</v>
      </c>
      <c r="F23" s="45">
        <f>E23/E25</f>
        <v>1.5660020945278016E-2</v>
      </c>
      <c r="G23" s="37">
        <f>H23/B23/12</f>
        <v>30.156562196505863</v>
      </c>
      <c r="H23" s="40">
        <f>B7*F23</f>
        <v>5790.059941729126</v>
      </c>
      <c r="I23" s="14"/>
      <c r="J23" s="37"/>
      <c r="K23" s="37"/>
      <c r="S23" s="37"/>
      <c r="T23" s="37"/>
    </row>
    <row r="24" spans="1:20" x14ac:dyDescent="0.2">
      <c r="A24" t="s">
        <v>87</v>
      </c>
      <c r="B24" s="191">
        <v>17</v>
      </c>
      <c r="C24" s="173">
        <v>500</v>
      </c>
      <c r="D24" s="44">
        <f>(C24-C20)/C20+1</f>
        <v>36.363636363636367</v>
      </c>
      <c r="E24" s="40">
        <f>B24*D24</f>
        <v>618.18181818181824</v>
      </c>
      <c r="F24" s="45">
        <f>E24/E25</f>
        <v>1.6638772254357892E-2</v>
      </c>
      <c r="G24" s="37">
        <f>H24/B24/12</f>
        <v>30.156562196505863</v>
      </c>
      <c r="H24" s="40">
        <f>B7*F24</f>
        <v>6151.9386880871962</v>
      </c>
      <c r="I24" s="14"/>
      <c r="J24" s="37"/>
      <c r="K24" s="37"/>
    </row>
    <row r="25" spans="1:20" x14ac:dyDescent="0.2">
      <c r="A25" s="41" t="s">
        <v>109</v>
      </c>
      <c r="B25" s="93">
        <f>SUM(B20:B24)</f>
        <v>32580</v>
      </c>
      <c r="C25" s="98"/>
      <c r="D25" s="99"/>
      <c r="E25" s="93">
        <f>SUM(E20:E24)</f>
        <v>37153.090909090912</v>
      </c>
      <c r="F25" s="94">
        <f>SUM(F20:F24)</f>
        <v>1</v>
      </c>
      <c r="G25" s="100"/>
      <c r="H25" s="95">
        <f>SUM(H20:H24)</f>
        <v>369735.13394150406</v>
      </c>
      <c r="I25" s="14"/>
      <c r="K25" s="75"/>
    </row>
    <row r="26" spans="1:20" x14ac:dyDescent="0.2">
      <c r="B26" s="40"/>
      <c r="C26" s="92"/>
      <c r="D26" s="44"/>
      <c r="I26" s="14"/>
      <c r="K26" s="75"/>
    </row>
    <row r="27" spans="1:20" x14ac:dyDescent="0.2">
      <c r="A27" s="41" t="s">
        <v>81</v>
      </c>
      <c r="B27" s="40"/>
      <c r="C27" s="43"/>
      <c r="D27" s="44"/>
      <c r="I27" s="14"/>
      <c r="K27" s="75"/>
    </row>
    <row r="28" spans="1:20" x14ac:dyDescent="0.2">
      <c r="A28" t="s">
        <v>83</v>
      </c>
      <c r="B28" s="191">
        <v>3389</v>
      </c>
      <c r="C28" s="173">
        <v>20.170000000000002</v>
      </c>
      <c r="D28" s="44">
        <f>C28/C28</f>
        <v>1</v>
      </c>
      <c r="E28" s="40">
        <f>B28*D28</f>
        <v>3389</v>
      </c>
      <c r="F28" s="45">
        <f>E28/E33</f>
        <v>0.80434098081027472</v>
      </c>
      <c r="G28" s="37">
        <f>H28/B28/12</f>
        <v>0.39959456987870939</v>
      </c>
      <c r="H28" s="46">
        <f>B8*F28</f>
        <v>16250.711967827354</v>
      </c>
      <c r="I28" s="14"/>
      <c r="J28" s="37"/>
      <c r="K28" s="37"/>
    </row>
    <row r="29" spans="1:20" x14ac:dyDescent="0.2">
      <c r="A29" t="s">
        <v>84</v>
      </c>
      <c r="B29" s="191">
        <v>517</v>
      </c>
      <c r="C29" s="173">
        <v>20.170000000000002</v>
      </c>
      <c r="D29" s="44">
        <f>C29/C28</f>
        <v>1</v>
      </c>
      <c r="E29" s="40">
        <f>B29*D29</f>
        <v>517</v>
      </c>
      <c r="F29" s="45">
        <f>E29/E33</f>
        <v>0.1227041271994429</v>
      </c>
      <c r="G29" s="37">
        <f>H29/B29/12</f>
        <v>0.39959456987870934</v>
      </c>
      <c r="H29" s="40">
        <f>B8*F29</f>
        <v>2479.0847115275128</v>
      </c>
      <c r="I29" s="14"/>
      <c r="J29" s="37"/>
      <c r="K29" s="37"/>
    </row>
    <row r="30" spans="1:20" x14ac:dyDescent="0.2">
      <c r="A30" t="s">
        <v>85</v>
      </c>
      <c r="B30" s="191">
        <v>42</v>
      </c>
      <c r="C30" s="173">
        <v>100</v>
      </c>
      <c r="D30" s="44">
        <f>(C30-C28)/C28+1</f>
        <v>4.9578582052553291</v>
      </c>
      <c r="E30" s="40">
        <f>B30*D30</f>
        <v>208.23004462072382</v>
      </c>
      <c r="F30" s="45">
        <f>E30/E33</f>
        <v>4.9421055864384847E-2</v>
      </c>
      <c r="G30" s="37">
        <f>H30/B30/12</f>
        <v>1.9811332170486331</v>
      </c>
      <c r="H30" s="40">
        <f>B8*F30</f>
        <v>998.49114139251105</v>
      </c>
      <c r="I30" s="14"/>
      <c r="J30" s="37"/>
      <c r="K30" s="37"/>
    </row>
    <row r="31" spans="1:20" x14ac:dyDescent="0.2">
      <c r="A31" t="s">
        <v>86</v>
      </c>
      <c r="B31" s="191">
        <v>4</v>
      </c>
      <c r="C31" s="173">
        <v>500</v>
      </c>
      <c r="D31" s="44">
        <f>(C31-C28)/C28+1</f>
        <v>24.789291026276647</v>
      </c>
      <c r="E31" s="40">
        <f>B31*D31</f>
        <v>99.157164105106588</v>
      </c>
      <c r="F31" s="45">
        <f>E31/E33</f>
        <v>2.3533836125897548E-2</v>
      </c>
      <c r="G31" s="37">
        <f>H31/B31/12</f>
        <v>9.9056660852431673</v>
      </c>
      <c r="H31" s="40">
        <f>B8*F31</f>
        <v>475.471972091672</v>
      </c>
      <c r="I31" s="14"/>
      <c r="J31" s="37"/>
      <c r="K31" s="37"/>
    </row>
    <row r="32" spans="1:20" x14ac:dyDescent="0.2">
      <c r="A32" t="s">
        <v>87</v>
      </c>
      <c r="B32" s="192">
        <v>0</v>
      </c>
      <c r="C32" s="173">
        <v>500</v>
      </c>
      <c r="D32" s="44">
        <f>(C32-C28)/C28+1</f>
        <v>24.789291026276647</v>
      </c>
      <c r="E32" s="40">
        <f>B32*D32</f>
        <v>0</v>
      </c>
      <c r="F32" s="45">
        <f>E32/E33</f>
        <v>0</v>
      </c>
      <c r="G32" s="37">
        <v>0</v>
      </c>
      <c r="H32" s="40">
        <f>B8*F32</f>
        <v>0</v>
      </c>
      <c r="I32" s="14"/>
      <c r="J32" s="37"/>
      <c r="K32" s="37"/>
    </row>
    <row r="33" spans="1:9" x14ac:dyDescent="0.2">
      <c r="A33" s="41" t="s">
        <v>110</v>
      </c>
      <c r="B33" s="93">
        <f>SUM(B28:B32)</f>
        <v>3952</v>
      </c>
      <c r="C33" s="100"/>
      <c r="D33" s="99"/>
      <c r="E33" s="93">
        <f>SUM(E28:E32)</f>
        <v>4213.3872087258305</v>
      </c>
      <c r="F33" s="94">
        <f>SUM(F28:F32)</f>
        <v>1</v>
      </c>
      <c r="G33" s="100"/>
      <c r="H33" s="95">
        <f>SUM(H28:H32)</f>
        <v>20203.75979283905</v>
      </c>
      <c r="I33" s="3"/>
    </row>
    <row r="34" spans="1:9" x14ac:dyDescent="0.2">
      <c r="A34" s="41"/>
      <c r="B34" s="40"/>
      <c r="C34" s="11"/>
      <c r="D34" s="101"/>
      <c r="F34" s="45"/>
      <c r="G34" s="3"/>
      <c r="H34" s="46"/>
      <c r="I34" s="3"/>
    </row>
    <row r="35" spans="1:9" ht="13.5" thickBot="1" x14ac:dyDescent="0.25">
      <c r="A35" s="16" t="s">
        <v>107</v>
      </c>
      <c r="B35" s="96">
        <f>B17+B25+B33</f>
        <v>55291</v>
      </c>
      <c r="C35" s="102"/>
      <c r="D35" s="102"/>
      <c r="E35" s="96">
        <f>E33+E25+E17</f>
        <v>61619.69328536524</v>
      </c>
      <c r="F35" s="103">
        <v>1</v>
      </c>
      <c r="G35" s="3"/>
      <c r="H35" s="97">
        <f>H17+H25+H33</f>
        <v>650669.65678274061</v>
      </c>
    </row>
    <row r="36" spans="1:9" ht="13.5" thickTop="1" x14ac:dyDescent="0.2"/>
    <row r="38" spans="1:9" x14ac:dyDescent="0.2">
      <c r="A38" s="29" t="s">
        <v>264</v>
      </c>
      <c r="B38" s="29"/>
      <c r="C38" s="29"/>
      <c r="D38" s="29"/>
      <c r="E38" s="188"/>
    </row>
    <row r="39" spans="1:9" x14ac:dyDescent="0.2">
      <c r="B39" s="40"/>
      <c r="D39" s="40"/>
    </row>
    <row r="40" spans="1:9" x14ac:dyDescent="0.2">
      <c r="B40" s="40"/>
      <c r="D40" s="40"/>
    </row>
    <row r="41" spans="1:9" x14ac:dyDescent="0.2">
      <c r="B41" s="40"/>
      <c r="C41" s="43"/>
      <c r="D41" s="40"/>
    </row>
    <row r="42" spans="1:9" x14ac:dyDescent="0.2">
      <c r="B42" s="40"/>
      <c r="C42" s="43"/>
      <c r="D42" s="40"/>
    </row>
    <row r="43" spans="1:9" x14ac:dyDescent="0.2">
      <c r="B43" s="40"/>
      <c r="C43" s="43"/>
      <c r="D43" s="40"/>
    </row>
    <row r="44" spans="1:9" x14ac:dyDescent="0.2">
      <c r="B44" s="40"/>
      <c r="C44" s="40"/>
      <c r="D44" s="40"/>
    </row>
    <row r="45" spans="1:9" x14ac:dyDescent="0.2">
      <c r="C45" s="43"/>
    </row>
    <row r="47" spans="1:9" x14ac:dyDescent="0.2">
      <c r="D47" s="57"/>
    </row>
    <row r="48" spans="1:9" x14ac:dyDescent="0.2">
      <c r="D48" s="57"/>
    </row>
    <row r="49" spans="1:4" x14ac:dyDescent="0.2">
      <c r="D49" s="57"/>
    </row>
    <row r="59" spans="1:4" x14ac:dyDescent="0.2">
      <c r="A59" s="187">
        <f>B5/21208496</f>
        <v>3.0679669920146188E-2</v>
      </c>
      <c r="B59" t="s">
        <v>176</v>
      </c>
    </row>
  </sheetData>
  <mergeCells count="3">
    <mergeCell ref="A1:H1"/>
    <mergeCell ref="A3:H3"/>
    <mergeCell ref="A2:H2"/>
  </mergeCells>
  <phoneticPr fontId="3" type="noConversion"/>
  <pageMargins left="0.62" right="0.36" top="1" bottom="0.89" header="0.5" footer="0.27"/>
  <pageSetup scale="91" orientation="landscape" r:id="rId1"/>
  <headerFooter alignWithMargins="0">
    <oddFooter>&amp;R&amp;9APPENDIX B
SCHEDULE 5
Rate Design-Current Period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Index</vt:lpstr>
      <vt:lpstr>APP A Cover</vt:lpstr>
      <vt:lpstr>Eligible Replmnts</vt:lpstr>
      <vt:lpstr>Retrmnts</vt:lpstr>
      <vt:lpstr>APP B Cover</vt:lpstr>
      <vt:lpstr>Rev Req</vt:lpstr>
      <vt:lpstr>Depr Exp</vt:lpstr>
      <vt:lpstr>Deferred Taxes</vt:lpstr>
      <vt:lpstr>Rate Design-Current Period</vt:lpstr>
      <vt:lpstr>Wgt Cost of Cap</vt:lpstr>
      <vt:lpstr>Property Taxes</vt:lpstr>
      <vt:lpstr>APP C Cover</vt:lpstr>
      <vt:lpstr>Tax Rate Cal</vt:lpstr>
      <vt:lpstr>CompositTaxRate</vt:lpstr>
      <vt:lpstr>'Tax Rate Cal'!FEDTAX</vt:lpstr>
      <vt:lpstr>FEDTAX</vt:lpstr>
      <vt:lpstr>GGC_DIV24_METER</vt:lpstr>
      <vt:lpstr>'Tax Rate Cal'!JURISDICTION</vt:lpstr>
      <vt:lpstr>JURISDICTION</vt:lpstr>
      <vt:lpstr>'Depr Exp'!Print_Area</vt:lpstr>
      <vt:lpstr>'Eligible Replmnts'!Print_Area</vt:lpstr>
      <vt:lpstr>Index!Print_Area</vt:lpstr>
      <vt:lpstr>'Property Taxes'!Print_Area</vt:lpstr>
      <vt:lpstr>'Rate Design-Current Period'!Print_Area</vt:lpstr>
      <vt:lpstr>Retrmnts!Print_Area</vt:lpstr>
      <vt:lpstr>'Rev Req'!Print_Area</vt:lpstr>
      <vt:lpstr>'Tax Rate Cal'!Print_Area</vt:lpstr>
      <vt:lpstr>'Wgt Cost of Cap'!Print_Area</vt:lpstr>
      <vt:lpstr>'Eligible Replmnts'!Print_Titles</vt:lpstr>
      <vt:lpstr>'Property Taxes'!Print_Titles</vt:lpstr>
      <vt:lpstr>'Rev Req'!Print_Titles</vt:lpstr>
      <vt:lpstr>'Tax Rate Cal'!STTAX</vt:lpstr>
      <vt:lpstr>'Tax Rate Cal'!TESTPERIOD</vt:lpstr>
      <vt:lpstr>TESTPERIOD</vt:lpstr>
      <vt:lpstr>TESTPERIOD1</vt:lpstr>
    </vt:vector>
  </TitlesOfParts>
  <Company>Atmos Energy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LAGibson</dc:creator>
  <cp:lastModifiedBy>Larry</cp:lastModifiedBy>
  <cp:lastPrinted>2012-08-18T21:08:49Z</cp:lastPrinted>
  <dcterms:created xsi:type="dcterms:W3CDTF">2009-09-27T16:46:35Z</dcterms:created>
  <dcterms:modified xsi:type="dcterms:W3CDTF">2013-07-02T19:39:25Z</dcterms:modified>
</cp:coreProperties>
</file>